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iina\Desktop\VOL 26.05.2022\"/>
    </mc:Choice>
  </mc:AlternateContent>
  <bookViews>
    <workbookView xWindow="780" yWindow="780" windowWidth="18000" windowHeight="9360"/>
  </bookViews>
  <sheets>
    <sheet name="Aruandevorm" sheetId="3" r:id="rId1"/>
    <sheet name="Seletuskiri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" l="1"/>
  <c r="C86" i="3"/>
  <c r="C83" i="3" s="1"/>
  <c r="C47" i="3"/>
  <c r="C44" i="3" s="1"/>
  <c r="C28" i="3"/>
  <c r="C27" i="3"/>
  <c r="C6" i="3"/>
  <c r="E8" i="3"/>
  <c r="C10" i="3"/>
  <c r="C14" i="3"/>
  <c r="C21" i="3"/>
  <c r="C30" i="3"/>
  <c r="E35" i="3"/>
  <c r="E36" i="3"/>
  <c r="C38" i="3"/>
  <c r="E41" i="3"/>
  <c r="E50" i="3"/>
  <c r="C51" i="3"/>
  <c r="E54" i="3"/>
  <c r="E58" i="3"/>
  <c r="C60" i="3"/>
  <c r="C59" i="3" s="1"/>
  <c r="E62" i="3"/>
  <c r="C69" i="3"/>
  <c r="C75" i="3"/>
  <c r="C74" i="3" s="1"/>
  <c r="E78" i="3"/>
  <c r="E82" i="3"/>
  <c r="E86" i="3"/>
  <c r="C94" i="3"/>
  <c r="E102" i="3"/>
  <c r="C105" i="3"/>
  <c r="C109" i="3"/>
  <c r="E118" i="3"/>
  <c r="C119" i="3"/>
  <c r="E122" i="3"/>
  <c r="E126" i="3"/>
  <c r="E130" i="3"/>
  <c r="C131" i="3"/>
  <c r="C133" i="3"/>
  <c r="E138" i="3"/>
  <c r="C139" i="3"/>
  <c r="E142" i="3"/>
  <c r="E150" i="3"/>
  <c r="C153" i="3"/>
  <c r="C151" i="3" s="1"/>
  <c r="E162" i="3"/>
  <c r="E9" i="3"/>
  <c r="E12" i="3"/>
  <c r="E13" i="3"/>
  <c r="E15" i="3"/>
  <c r="E16" i="3"/>
  <c r="E17" i="3"/>
  <c r="E18" i="3"/>
  <c r="E19" i="3"/>
  <c r="E22" i="3"/>
  <c r="E26" i="3"/>
  <c r="E31" i="3"/>
  <c r="E33" i="3"/>
  <c r="E34" i="3"/>
  <c r="E39" i="3"/>
  <c r="E42" i="3"/>
  <c r="E46" i="3"/>
  <c r="E48" i="3"/>
  <c r="E49" i="3"/>
  <c r="E55" i="3"/>
  <c r="E56" i="3"/>
  <c r="E61" i="3"/>
  <c r="E63" i="3"/>
  <c r="E64" i="3"/>
  <c r="E67" i="3"/>
  <c r="E68" i="3"/>
  <c r="E70" i="3"/>
  <c r="E71" i="3"/>
  <c r="E72" i="3"/>
  <c r="E73" i="3"/>
  <c r="E76" i="3"/>
  <c r="E77" i="3"/>
  <c r="E79" i="3"/>
  <c r="E81" i="3"/>
  <c r="E84" i="3"/>
  <c r="E85" i="3"/>
  <c r="E87" i="3"/>
  <c r="E88" i="3"/>
  <c r="E90" i="3"/>
  <c r="E91" i="3"/>
  <c r="E92" i="3"/>
  <c r="E93" i="3"/>
  <c r="E95" i="3"/>
  <c r="E96" i="3"/>
  <c r="E97" i="3"/>
  <c r="E99" i="3"/>
  <c r="E100" i="3"/>
  <c r="E101" i="3"/>
  <c r="E103" i="3"/>
  <c r="E104" i="3"/>
  <c r="E107" i="3"/>
  <c r="E111" i="3"/>
  <c r="E112" i="3"/>
  <c r="E114" i="3"/>
  <c r="E115" i="3"/>
  <c r="E116" i="3"/>
  <c r="E117" i="3"/>
  <c r="E120" i="3"/>
  <c r="E123" i="3"/>
  <c r="E124" i="3"/>
  <c r="E125" i="3"/>
  <c r="E127" i="3"/>
  <c r="E128" i="3"/>
  <c r="E135" i="3"/>
  <c r="E136" i="3"/>
  <c r="E137" i="3"/>
  <c r="E140" i="3"/>
  <c r="E141" i="3"/>
  <c r="E143" i="3"/>
  <c r="E144" i="3"/>
  <c r="E146" i="3"/>
  <c r="E147" i="3"/>
  <c r="E148" i="3"/>
  <c r="E149" i="3"/>
  <c r="E152" i="3"/>
  <c r="E155" i="3"/>
  <c r="E156" i="3"/>
  <c r="E158" i="3"/>
  <c r="E159" i="3"/>
  <c r="E160" i="3"/>
  <c r="E161" i="3"/>
  <c r="E163" i="3"/>
  <c r="E164" i="3"/>
  <c r="E166" i="3"/>
  <c r="C25" i="3" l="1"/>
  <c r="E47" i="3"/>
  <c r="C65" i="3"/>
  <c r="C108" i="3"/>
  <c r="C20" i="3"/>
  <c r="C5" i="3"/>
  <c r="C98" i="3"/>
  <c r="C80" i="3" s="1"/>
  <c r="E134" i="3"/>
  <c r="E106" i="3"/>
  <c r="E28" i="3"/>
  <c r="C53" i="3"/>
  <c r="E165" i="3"/>
  <c r="E157" i="3"/>
  <c r="E154" i="3"/>
  <c r="E145" i="3"/>
  <c r="E113" i="3"/>
  <c r="E110" i="3"/>
  <c r="E89" i="3"/>
  <c r="E45" i="3"/>
  <c r="E40" i="3"/>
  <c r="E27" i="3"/>
  <c r="E23" i="3"/>
  <c r="E11" i="3"/>
  <c r="E66" i="3"/>
  <c r="E24" i="3"/>
  <c r="E132" i="3"/>
  <c r="E129" i="3"/>
  <c r="E121" i="3"/>
  <c r="E57" i="3"/>
  <c r="E32" i="3"/>
  <c r="C43" i="3" l="1"/>
  <c r="C168" i="3" s="1"/>
  <c r="C29" i="3"/>
  <c r="C37" i="3" l="1"/>
  <c r="C167" i="3" s="1"/>
  <c r="D153" i="3" l="1"/>
  <c r="D139" i="3"/>
  <c r="E139" i="3" s="1"/>
  <c r="D133" i="3"/>
  <c r="E133" i="3" s="1"/>
  <c r="D131" i="3"/>
  <c r="E131" i="3" s="1"/>
  <c r="D119" i="3"/>
  <c r="E119" i="3" s="1"/>
  <c r="D109" i="3"/>
  <c r="E109" i="3" s="1"/>
  <c r="D105" i="3"/>
  <c r="E105" i="3" s="1"/>
  <c r="D98" i="3"/>
  <c r="E98" i="3" s="1"/>
  <c r="D94" i="3"/>
  <c r="E94" i="3" s="1"/>
  <c r="D83" i="3"/>
  <c r="E83" i="3" s="1"/>
  <c r="D75" i="3"/>
  <c r="D69" i="3"/>
  <c r="D60" i="3"/>
  <c r="D53" i="3"/>
  <c r="E53" i="3" s="1"/>
  <c r="D52" i="3"/>
  <c r="D44" i="3"/>
  <c r="E44" i="3" s="1"/>
  <c r="D38" i="3"/>
  <c r="E38" i="3" s="1"/>
  <c r="D30" i="3"/>
  <c r="E30" i="3" s="1"/>
  <c r="D25" i="3"/>
  <c r="E25" i="3" s="1"/>
  <c r="D21" i="3"/>
  <c r="E21" i="3" s="1"/>
  <c r="D14" i="3"/>
  <c r="E14" i="3" s="1"/>
  <c r="D10" i="3"/>
  <c r="E10" i="3" s="1"/>
  <c r="D6" i="3"/>
  <c r="E6" i="3" s="1"/>
  <c r="F275" i="2"/>
  <c r="F278" i="2" s="1"/>
  <c r="F268" i="2"/>
  <c r="F259" i="2"/>
  <c r="F245" i="2"/>
  <c r="F241" i="2"/>
  <c r="F239" i="2"/>
  <c r="F221" i="2"/>
  <c r="F220" i="2" s="1"/>
  <c r="F215" i="2"/>
  <c r="F211" i="2"/>
  <c r="F207" i="2"/>
  <c r="F205" i="2"/>
  <c r="F202" i="2"/>
  <c r="F195" i="2"/>
  <c r="F191" i="2"/>
  <c r="F190" i="2"/>
  <c r="F186" i="2"/>
  <c r="F185" i="2"/>
  <c r="F179" i="2"/>
  <c r="F178" i="2"/>
  <c r="F176" i="2"/>
  <c r="F175" i="2"/>
  <c r="F172" i="2"/>
  <c r="F171" i="2"/>
  <c r="F170" i="2"/>
  <c r="F169" i="2"/>
  <c r="F153" i="2"/>
  <c r="F151" i="2"/>
  <c r="F149" i="2"/>
  <c r="F145" i="2"/>
  <c r="F143" i="2"/>
  <c r="F136" i="2"/>
  <c r="F107" i="2"/>
  <c r="F106" i="2"/>
  <c r="F105" i="2"/>
  <c r="F98" i="2"/>
  <c r="F97" i="2"/>
  <c r="F96" i="2"/>
  <c r="F95" i="2"/>
  <c r="F94" i="2"/>
  <c r="F92" i="2"/>
  <c r="F91" i="2"/>
  <c r="F90" i="2"/>
  <c r="F89" i="2"/>
  <c r="F87" i="2"/>
  <c r="F86" i="2"/>
  <c r="F85" i="2"/>
  <c r="F84" i="2"/>
  <c r="F76" i="2"/>
  <c r="F74" i="2"/>
  <c r="F57" i="2"/>
  <c r="F54" i="2"/>
  <c r="F52" i="2"/>
  <c r="F49" i="2"/>
  <c r="F47" i="2"/>
  <c r="F39" i="2"/>
  <c r="F28" i="2"/>
  <c r="F23" i="2"/>
  <c r="F13" i="2"/>
  <c r="F11" i="2"/>
  <c r="F9" i="2"/>
  <c r="D65" i="3" l="1"/>
  <c r="E65" i="3" s="1"/>
  <c r="E69" i="3"/>
  <c r="D51" i="3"/>
  <c r="E51" i="3" s="1"/>
  <c r="E52" i="3"/>
  <c r="D74" i="3"/>
  <c r="E74" i="3" s="1"/>
  <c r="E75" i="3"/>
  <c r="D59" i="3"/>
  <c r="E59" i="3" s="1"/>
  <c r="E60" i="3"/>
  <c r="D151" i="3"/>
  <c r="E151" i="3" s="1"/>
  <c r="E153" i="3"/>
  <c r="D20" i="3"/>
  <c r="D108" i="3"/>
  <c r="E108" i="3" s="1"/>
  <c r="D5" i="3"/>
  <c r="E5" i="3" s="1"/>
  <c r="D80" i="3"/>
  <c r="E80" i="3" s="1"/>
  <c r="F162" i="2"/>
  <c r="F196" i="2" s="1"/>
  <c r="F77" i="2"/>
  <c r="F41" i="2"/>
  <c r="F237" i="2"/>
  <c r="F261" i="2" s="1"/>
  <c r="F59" i="2"/>
  <c r="F121" i="2" l="1"/>
  <c r="E20" i="3"/>
  <c r="D43" i="3"/>
  <c r="D29" i="3"/>
  <c r="F122" i="2"/>
  <c r="I122" i="2" s="1"/>
  <c r="F262" i="2"/>
  <c r="D37" i="3" l="1"/>
  <c r="E29" i="3"/>
  <c r="D168" i="3"/>
  <c r="E168" i="3" s="1"/>
  <c r="E43" i="3"/>
  <c r="D167" i="3" l="1"/>
  <c r="E167" i="3" s="1"/>
  <c r="E37" i="3"/>
</calcChain>
</file>

<file path=xl/sharedStrings.xml><?xml version="1.0" encoding="utf-8"?>
<sst xmlns="http://schemas.openxmlformats.org/spreadsheetml/2006/main" count="837" uniqueCount="554">
  <si>
    <t>Seletuskiri Lüganuse valla 2022.a lisaeelarve nr 1 juurde</t>
  </si>
  <si>
    <t>1. SIHTOTSTARBELISED TOETUSED</t>
  </si>
  <si>
    <t>1.1 Lisada Lüganuse valla 2022.a eelarve tuludesse lisaeelarve koostamise hetkeks laekunud sihtotstarbelised toetused tululiikide lõikes järgmiselt:</t>
  </si>
  <si>
    <t>Tululiik</t>
  </si>
  <si>
    <t>Summa</t>
  </si>
  <si>
    <t>Selgitus</t>
  </si>
  <si>
    <t>3220</t>
  </si>
  <si>
    <t>Tulud haridusalasest tegevusest</t>
  </si>
  <si>
    <t>* Tartu Ülikool</t>
  </si>
  <si>
    <t>Praktika juhendamise tasu Kiviõli I Keskkool</t>
  </si>
  <si>
    <t>3224</t>
  </si>
  <si>
    <t>Tulud sotsiaalabialasest tegevusest</t>
  </si>
  <si>
    <t>* Sotsiaalkindlustusamet</t>
  </si>
  <si>
    <t>Igapäevaelu toetus (6 kuud)</t>
  </si>
  <si>
    <t>3500</t>
  </si>
  <si>
    <t>Sihtotstarbelised toetused jooksvateks kuludeks</t>
  </si>
  <si>
    <t>* Rahandusministeerium</t>
  </si>
  <si>
    <t>Õppelaenude kustutamiseks</t>
  </si>
  <si>
    <t>* Haridus- ja Teadusministeerium</t>
  </si>
  <si>
    <t>Täiendav toetus üldhariduskoolidele õpilastele täiendavate tugimeetmete pakkumiseks õpilünkade tasandamisel</t>
  </si>
  <si>
    <t>* Kultuuriministeerium</t>
  </si>
  <si>
    <t>Toetus teavikute soetamiseks Lüganuse ja Sonda raamatukogudele</t>
  </si>
  <si>
    <t>Projekt "Isikukeskse erihoolekande teenusmudeli rakendamine
kohalikus omavalitsuses", 2022.a toetus</t>
  </si>
  <si>
    <t>* Sotsiaalministeerium</t>
  </si>
  <si>
    <t>Projekti „Sotsiaalteenuste arendus Lüganuse vallas" 2022.a toetuse osa</t>
  </si>
  <si>
    <t xml:space="preserve"> "Kahaneva rahvastikuga piirkondades probleemsete korterelamute elanike ümberasustamine ja kasutusest väljalangenud korterelamute lammutamine“ toetuse 2022.a osa</t>
  </si>
  <si>
    <t>3502</t>
  </si>
  <si>
    <t>Põhivara soetuseks saadav sihtfinantseerimine</t>
  </si>
  <si>
    <t>2021.a covid investeeringutoetus Kiviõli-Püssi kergliiklustee projekteerimis-ehitustöö II osa</t>
  </si>
  <si>
    <t>2021.a covid investeeringutoetus kõnniteede ja staadioni rekonstrueerimiseks Kiviõli linna lasteaed Kannike territooriumil</t>
  </si>
  <si>
    <t>* SA KIK</t>
  </si>
  <si>
    <t>Projekti „Erra ohtlike jäätmete kogumispunkti laiendamine piirkondlikuks jäätmejaamaks“ toetus</t>
  </si>
  <si>
    <t>2021.a hajaasustusprogrammi riigipoolne toetus</t>
  </si>
  <si>
    <t>3520</t>
  </si>
  <si>
    <t>Toetusfond (seisuga 22.02.2022)</t>
  </si>
  <si>
    <t>Toetusfondi üldhariduskoolide pidamiseks antava toetuse jaotus on kinnitatud Vabariigi Valitsuse 30.12.2021 korraldusega nr 471 ja muude vahendite jaotus Vabariigi Valitsuse 03.03.2022 korraldusega nr 62.</t>
  </si>
  <si>
    <t>* asendus- ja järelhooldusteenuse toetus</t>
  </si>
  <si>
    <t>* matusetoetus</t>
  </si>
  <si>
    <t>* hariduskulude toetus</t>
  </si>
  <si>
    <t>* huvihariduse ja huvitegevuse toetus</t>
  </si>
  <si>
    <t>* kohalike teede hoiu toetus</t>
  </si>
  <si>
    <t>* lasteaiaõpetajate tööjõukulude toetus</t>
  </si>
  <si>
    <t>* toimetulekutoetus</t>
  </si>
  <si>
    <t>* raske ja sügava puudega lastele abi osutamise toetus</t>
  </si>
  <si>
    <t>* toimetulekutoetuse maksmise korraldamise hüvitis</t>
  </si>
  <si>
    <t>* rahvastikutoimingute kulude hüvitamine</t>
  </si>
  <si>
    <t>38</t>
  </si>
  <si>
    <t>Muud tulud</t>
  </si>
  <si>
    <t>* Ergo Insurance SE</t>
  </si>
  <si>
    <t>SAADAVAD TOETUSED KOKKU:</t>
  </si>
  <si>
    <t>1.2 Lisada Lüganuse valla 2022.a eelarve kuludesse punktis 1.1 nimetatud toetused tegevusalade ja kululiikide lõikes järgmiselt:</t>
  </si>
  <si>
    <t>Tegevusala</t>
  </si>
  <si>
    <t>Kulu-liik</t>
  </si>
  <si>
    <t>01 ÜLDISED VALITSUSSEKTORI TEENUSED</t>
  </si>
  <si>
    <t>01112</t>
  </si>
  <si>
    <t>Valla- ja linnavalitsus</t>
  </si>
  <si>
    <t>Toetusfondi rahvastiku toimingute kulude hüvitamine</t>
  </si>
  <si>
    <t>04 MAJANDUS</t>
  </si>
  <si>
    <t>04510</t>
  </si>
  <si>
    <t>Maanteetransport</t>
  </si>
  <si>
    <t xml:space="preserve">Toetusfondi kohalike teede hoiu toetus, kokku summas 381232 eurot, millest 380 000 eurot on juba Lüganuse valla 2022.a eelarves. </t>
  </si>
  <si>
    <t>05 KESKKONNAKITSE</t>
  </si>
  <si>
    <t>051002</t>
  </si>
  <si>
    <t>Jäätmekäitlus (Erra OJKP)</t>
  </si>
  <si>
    <t xml:space="preserve">„Erra ohtlike jäätmete kogumispunkti laiendamine piirkondlikuks jäätmejaamaks“ </t>
  </si>
  <si>
    <t>06 ELAMU- JA KOMMUNAALMAJANDUS</t>
  </si>
  <si>
    <t>06100</t>
  </si>
  <si>
    <t>Elamumajanduse arendamine</t>
  </si>
  <si>
    <t>06300</t>
  </si>
  <si>
    <t>Veevarustus</t>
  </si>
  <si>
    <t>2021. hajaasustusprogrammi riigipoolne toetus</t>
  </si>
  <si>
    <t>07 TERVISHOID</t>
  </si>
  <si>
    <t>07600</t>
  </si>
  <si>
    <t>Muu tervishoid (tervishoiu haldamine)</t>
  </si>
  <si>
    <t>08 VABA AEG, KULTUUR JA RELIGIOON</t>
  </si>
  <si>
    <t>081076</t>
  </si>
  <si>
    <t>Püssi Noortekeskus RE</t>
  </si>
  <si>
    <t>Toetusfondi huvihariduse ja -tegevuse toetuse jaotus vastavalt Lüganuse Vallavolikogu poolt kinnitatud kavale</t>
  </si>
  <si>
    <t>081077</t>
  </si>
  <si>
    <t>Maidla Noortekeskus RE</t>
  </si>
  <si>
    <t>081078</t>
  </si>
  <si>
    <t>Lüganuse Noortemaja RE</t>
  </si>
  <si>
    <t>081079</t>
  </si>
  <si>
    <t>Noorsootöö arendamine</t>
  </si>
  <si>
    <t>0810710</t>
  </si>
  <si>
    <t>Kiviõli Noortekeskus RE</t>
  </si>
  <si>
    <t>082011</t>
  </si>
  <si>
    <t>Lüganuse Valla Raamatukogu</t>
  </si>
  <si>
    <t>Teavikute soetamise toetus</t>
  </si>
  <si>
    <t>082013</t>
  </si>
  <si>
    <t>Sonda Raamatukogu</t>
  </si>
  <si>
    <t>082022</t>
  </si>
  <si>
    <t>Lüganuse Kultuurikeskus RE</t>
  </si>
  <si>
    <t>082023</t>
  </si>
  <si>
    <t xml:space="preserve">Kiviõli Rahvamaja </t>
  </si>
  <si>
    <t>082025</t>
  </si>
  <si>
    <t>Sonda Rahvamaja RE</t>
  </si>
  <si>
    <t>086001</t>
  </si>
  <si>
    <t>Muu vaba aeg, kultuur, religioon</t>
  </si>
  <si>
    <t>09 HARIDUS</t>
  </si>
  <si>
    <t>091102</t>
  </si>
  <si>
    <t>Marjakese Lasteaed RE</t>
  </si>
  <si>
    <t>Toetusfondi lasteaiaõpetajate tööjõukulude toetuse jaotus</t>
  </si>
  <si>
    <t>091104</t>
  </si>
  <si>
    <t>Maidla Kooli lasteasutus RE</t>
  </si>
  <si>
    <t>091105</t>
  </si>
  <si>
    <t>Kiviõli linna lasteaed Kannike VE</t>
  </si>
  <si>
    <t>2021.a covid investeeringutoetus kõnniteede ja staadioni rekonstrueerimiseks lasteaia territooriumil</t>
  </si>
  <si>
    <t>091106</t>
  </si>
  <si>
    <t>Kiviõli linna lasteaed Kannike RE</t>
  </si>
  <si>
    <t>091108</t>
  </si>
  <si>
    <t>Erra Lasteaed RE</t>
  </si>
  <si>
    <t>092121</t>
  </si>
  <si>
    <t>Maidla Kool VE</t>
  </si>
  <si>
    <t>Toetus õpilastele täiendavate tugimeetmete 
pakkumiseks õpilünkade tasandamisel</t>
  </si>
  <si>
    <t>092122</t>
  </si>
  <si>
    <t>Maidla Kool RE</t>
  </si>
  <si>
    <t>Toetusfondi hariduskulude ning huvihariduse ja -tegevuse toetuse jaotus</t>
  </si>
  <si>
    <t>092123</t>
  </si>
  <si>
    <t>Lüganuse Kool RE</t>
  </si>
  <si>
    <t>092124</t>
  </si>
  <si>
    <t>Kiviõli Vene Kool VE</t>
  </si>
  <si>
    <t>092125</t>
  </si>
  <si>
    <t>Kiviõli Vene Kool RE</t>
  </si>
  <si>
    <t>092126</t>
  </si>
  <si>
    <t>Kiviõli I Keskkool RE</t>
  </si>
  <si>
    <t>092127</t>
  </si>
  <si>
    <t>Sonda Kool VE</t>
  </si>
  <si>
    <t>092128</t>
  </si>
  <si>
    <t>Sonda Kool RE</t>
  </si>
  <si>
    <t>Toetusfondi hariduskulude, huvihariduse ja -tegevuse ning lasteaiaõpetajate tööjõukulude toetuse jaotus</t>
  </si>
  <si>
    <t>092129</t>
  </si>
  <si>
    <t>Lüganuse Kool VE</t>
  </si>
  <si>
    <t>Toetus õpilastele täiendavate tugimeetmete 
pakkumiseks õpilünkade tasandamisel ja õppelaenu kustutamine</t>
  </si>
  <si>
    <t>0921210</t>
  </si>
  <si>
    <t>Kiviõli I Keskkool VE</t>
  </si>
  <si>
    <t>Toetus õpilastele täiendavate tugimeetmete 
pakkumiseks õpilünkade tasandamisel, praktika juhendamise tasu</t>
  </si>
  <si>
    <t>092131</t>
  </si>
  <si>
    <t>Kiviõli I Keskkool RE (güm)</t>
  </si>
  <si>
    <t>Toetusfondi hariduskulude toetuse jaotus</t>
  </si>
  <si>
    <t>095104</t>
  </si>
  <si>
    <t>Kiviõli Kunstide Kool RE</t>
  </si>
  <si>
    <t>096011</t>
  </si>
  <si>
    <t>Toetusfondi hariduskulude toetuse jaotus (koolilõuna)</t>
  </si>
  <si>
    <t>096013</t>
  </si>
  <si>
    <t>096015</t>
  </si>
  <si>
    <t>096017</t>
  </si>
  <si>
    <t>09609</t>
  </si>
  <si>
    <t>Muud hariduse abiteenused</t>
  </si>
  <si>
    <t>Toetusfondi lasteaiaõpetajate tööjõukulude toetuse jaotus tugispetsialistiteenusteks 10589 eurot ja Lüganuse Kooli sept-dets toetusfondi RE majandamiskulud 5068 eurot</t>
  </si>
  <si>
    <t>10 SOTSIAALNE KAITSE</t>
  </si>
  <si>
    <t>10121</t>
  </si>
  <si>
    <t>Muu puuetega inimeste sotsiaalne kaitse</t>
  </si>
  <si>
    <t>Toetusfondi raske ja sügava puudega lastele abi osutamise toetus</t>
  </si>
  <si>
    <t>Projekti „Sotsiaalteenuste arendus Lüganuse vallas" kulud toetuse arvelt</t>
  </si>
  <si>
    <t>Projekt "Isikukeskse erihoolekande teenusmudeli rakendamine kohalikus omavalitsuses", 2022.a kulud</t>
  </si>
  <si>
    <t>102002</t>
  </si>
  <si>
    <t>Kiviõli Päevakeskus</t>
  </si>
  <si>
    <t>10400</t>
  </si>
  <si>
    <t>Asendus- ja järelhooldus</t>
  </si>
  <si>
    <t>Toetusfondi asendus- ja järelhooldusteenuse toetus</t>
  </si>
  <si>
    <t>10402</t>
  </si>
  <si>
    <t>Muu perekondade ja laste sotsiaalne kaitse</t>
  </si>
  <si>
    <t>Toetusfondi matusetoetus</t>
  </si>
  <si>
    <t>10701</t>
  </si>
  <si>
    <t>Riiklik toimetulekutoetus</t>
  </si>
  <si>
    <t>Toetusfondi toimetulekutoetus ja toimetulekutoetuse maksmise korraldamise hüvitis</t>
  </si>
  <si>
    <t>10900</t>
  </si>
  <si>
    <t>Muu sotsiaalne kaitse</t>
  </si>
  <si>
    <t>Energiakulude hüvitamise korralduskulud</t>
  </si>
  <si>
    <t>KULUD KOKKU:</t>
  </si>
  <si>
    <t>kontroll:</t>
  </si>
  <si>
    <t xml:space="preserve">Tulude ja kulude vahe summa 59 796,53 eurot on 2021.a toetusfondi huvihariduse ja -tegevuse toetuse kasutamata jäänud vahendite ületulev jääk, mis on jagatud tegevusalade lõikes koos 2022.a toetusfondi huviharidus ja -tegevuse summaga vastavalt kinnitatud huvitegevuse kavale. </t>
  </si>
  <si>
    <t>2. VALLAEELARVE MUUTMINE</t>
  </si>
  <si>
    <t>2.1 Muuta Lüganuse valla 2022.a eelarve tulusid järgmiselt:</t>
  </si>
  <si>
    <t>1001</t>
  </si>
  <si>
    <t>Likviidsete varade muutus</t>
  </si>
  <si>
    <t>Aasta alguse pangakonto jäägi korrigeerimine</t>
  </si>
  <si>
    <t>Nõuete ja kohustuste saldode muutus</t>
  </si>
  <si>
    <t>35200</t>
  </si>
  <si>
    <t>Tasandusfond</t>
  </si>
  <si>
    <t>Tasandusfondi summa korrigeerimine</t>
  </si>
  <si>
    <t xml:space="preserve"> TULUDE MUUTUS (suurenemine) KOKKU:</t>
  </si>
  <si>
    <r>
      <t xml:space="preserve">2.2 Suurendada Lüganuse valla 2022.a eelarve kulusid </t>
    </r>
    <r>
      <rPr>
        <b/>
        <sz val="12"/>
        <color rgb="FF000000"/>
        <rFont val="Calibri"/>
        <family val="2"/>
        <charset val="186"/>
      </rPr>
      <t>2021.a ületulevate jääkide</t>
    </r>
    <r>
      <rPr>
        <sz val="12"/>
        <color rgb="FF000000"/>
        <rFont val="Calibri"/>
        <family val="2"/>
        <charset val="186"/>
      </rPr>
      <t xml:space="preserve"> võrra tegevusalade ja kululiikide lõikes järgmiselt:</t>
    </r>
  </si>
  <si>
    <t>covid-19 tulubaasi stabiliseerimise toetuse jääk (testide, maskide, desovahendite soetamiseks s.h ka allatavatele asutustele)</t>
  </si>
  <si>
    <t>Toetusfondi teede hoiu toetuse jääk</t>
  </si>
  <si>
    <t>04730</t>
  </si>
  <si>
    <t>Turism</t>
  </si>
  <si>
    <t>Väikesadamate võrgustiku toetamine, garantiikiri</t>
  </si>
  <si>
    <t>04740</t>
  </si>
  <si>
    <t>Üldmajanduslikud arendusprojektid</t>
  </si>
  <si>
    <t>Üldplaneeringu koostamine, leping</t>
  </si>
  <si>
    <t>05 KESKKONNAKAITSE</t>
  </si>
  <si>
    <t>05400</t>
  </si>
  <si>
    <t>Bioloogilise mitmekeskisuse ja maastiku kaitse</t>
  </si>
  <si>
    <t xml:space="preserve">LIFE programmi 2019.a toetuse kasutamata vahendid </t>
  </si>
  <si>
    <t>066052</t>
  </si>
  <si>
    <t>Lüganuse kalmistu</t>
  </si>
  <si>
    <t>Kalmistu kaardistamine, hange, leping</t>
  </si>
  <si>
    <t>08103</t>
  </si>
  <si>
    <t>Puhkepargid</t>
  </si>
  <si>
    <t>Kiviõli keskväljaku ehitus, leping</t>
  </si>
  <si>
    <t>082012</t>
  </si>
  <si>
    <t>Kiviõli Linnaraamatukogu</t>
  </si>
  <si>
    <t>Covid-19 tulubaasi stabiliseerimise toetuse kasutamata vahendid puutevaba laenutuskapi soetamiseks</t>
  </si>
  <si>
    <t>082021</t>
  </si>
  <si>
    <t>Lüganuse Kultuurikeskus</t>
  </si>
  <si>
    <t>Hoone elektritööd, sõlmitud töövõtuleping</t>
  </si>
  <si>
    <t>Eesti Laulu ja Tantsupeo SA toetuse kasutamata vahendid</t>
  </si>
  <si>
    <t>Kiviõli Rahvamaja</t>
  </si>
  <si>
    <t>082024</t>
  </si>
  <si>
    <t>Sonda Rahvamaja</t>
  </si>
  <si>
    <t>086003</t>
  </si>
  <si>
    <t>Sonda koolimajale lisaväärtuse andmine ja mitmeotstarbeliseks muutmine, leping</t>
  </si>
  <si>
    <t>Riigi huvihariduse ja -tegevuse toetus</t>
  </si>
  <si>
    <t>Toetusfondi huvihariduse ja -tegevuse toetuse jääk. Jaotus tegevusalade lõikes kajastub koos 2022.a toetusfondi huvihariduse toetusega.</t>
  </si>
  <si>
    <t>Toetusfondi lasteaiaõpetajate tööjõukulude toetuse jääk</t>
  </si>
  <si>
    <t>091103</t>
  </si>
  <si>
    <t>Maidla Kooli lasteasutus VE</t>
  </si>
  <si>
    <t>2020.a katuseraha parkla ehituseks</t>
  </si>
  <si>
    <t>HTMi digiõppekirjanduse toetuse jääk</t>
  </si>
  <si>
    <t>Toetusfondi hariduskulude toetuse jääk</t>
  </si>
  <si>
    <t>HTM õpilünkade tasandamise toetuse  jääk</t>
  </si>
  <si>
    <t>HTM õpihuvilaagrite korraldamise toetuse  ja projekti "Tehnokool-6" kasutamata vahendid</t>
  </si>
  <si>
    <t>HTM toetuste jäägid</t>
  </si>
  <si>
    <t>Erasmus projekti ja digiõppe toetuste jäägid</t>
  </si>
  <si>
    <t>Erinevate projektide jäägid</t>
  </si>
  <si>
    <t>Kiviõli I Keskkool RE (gümnaasium)</t>
  </si>
  <si>
    <t>Toetusfondi lasteaiaõpetajate tööjõukulude toetuse jääk logopeedi teenusteks 2114 eurot ja covid-19 toetuse jääk munitsipaalkoolide õppehoonetes ventilatsioonisüsteemide ehitamiseks 17294 eurot</t>
  </si>
  <si>
    <t>Toetusfondi toimetulekutoetuse jääk</t>
  </si>
  <si>
    <t>Toetusfondi toimetulekutoetuse korraldamise jääk</t>
  </si>
  <si>
    <t>KULUDE MUUTUS (suurenemine) KOKKU:</t>
  </si>
  <si>
    <r>
      <t xml:space="preserve">2.3 Võttes arvesse lisaeelarve koostamise hetkeks laekunud taotlused ning ilmnenud asjaolud, muuta Lüganuse valla 2022.a eelarve </t>
    </r>
    <r>
      <rPr>
        <b/>
        <sz val="12"/>
        <color rgb="FF000000"/>
        <rFont val="Calibri"/>
        <family val="2"/>
        <charset val="186"/>
      </rPr>
      <t>põhitegevuse ja investeerimistegevuse kulusid</t>
    </r>
    <r>
      <rPr>
        <sz val="12"/>
        <color rgb="FF000000"/>
        <rFont val="Calibri"/>
        <family val="2"/>
        <charset val="186"/>
      </rPr>
      <t xml:space="preserve"> tegevusalade ja kululiikide lõikes järgmiselt:</t>
    </r>
  </si>
  <si>
    <t>01111</t>
  </si>
  <si>
    <t>Valla- ja linnavolikogu</t>
  </si>
  <si>
    <t>Kulude vähendamine</t>
  </si>
  <si>
    <t>04900</t>
  </si>
  <si>
    <t>Muu majandus (s.h majanduse haldus)</t>
  </si>
  <si>
    <t>Lisavahendid AlphaGis aastasele litsentsile, litsentsi kallinemine</t>
  </si>
  <si>
    <t>05101</t>
  </si>
  <si>
    <t>Avalike alade puhastus</t>
  </si>
  <si>
    <t>066056</t>
  </si>
  <si>
    <t>Lüganuse valla majanduskeskus</t>
  </si>
  <si>
    <t>Personalikulude suurendamine eesmärgiga võtta tööle kaks lepingulist niitjat</t>
  </si>
  <si>
    <t>072101</t>
  </si>
  <si>
    <t>Savala perearstikabinet</t>
  </si>
  <si>
    <t>Kulude vähendamine, kuna Savala perearstikabinet ei tegutse enam</t>
  </si>
  <si>
    <t>072103</t>
  </si>
  <si>
    <t>Sonda arstipunkt</t>
  </si>
  <si>
    <t>Kulude vähendamine, kuna Sonda arstipunkt ei tegutse enam</t>
  </si>
  <si>
    <t>08102</t>
  </si>
  <si>
    <t>Sporditegevus</t>
  </si>
  <si>
    <t>Rannaalade taristu arendamise kulude vähendamine</t>
  </si>
  <si>
    <t>081072</t>
  </si>
  <si>
    <t>Maidla noortekeskus</t>
  </si>
  <si>
    <t>081073</t>
  </si>
  <si>
    <t>Lüganuse noortemaja</t>
  </si>
  <si>
    <t>081075</t>
  </si>
  <si>
    <t>Kiviõli noortekeskus</t>
  </si>
  <si>
    <t>Lüganuse valla raamatukogu</t>
  </si>
  <si>
    <t>Sonda raamatukogu</t>
  </si>
  <si>
    <t>091101</t>
  </si>
  <si>
    <t>Marjakese Lasteaed VE</t>
  </si>
  <si>
    <t>Lasteaiaõpetajate tööjõukulude vähendamine toetusfondi lasteaiaõpetajate tööjõukulude toetuse võrra.</t>
  </si>
  <si>
    <t>Toitlustamiskulude suurenemine Erra (10 000) ja Sonda lasteaia (3500) toitlustamiskulude arvelt, kuna toitu valmistab Maidla kooli köök, kulude vähendamine -850</t>
  </si>
  <si>
    <t>091107</t>
  </si>
  <si>
    <t>Erra Lasteaed VE</t>
  </si>
  <si>
    <t>Toitlustamiskulude viimine Maidla Kooli lasteasutuse alla (10000), kuna Erra lasteaeda toitlustab Maidla kooli köök, kulude vähendamine -1700</t>
  </si>
  <si>
    <t>55</t>
  </si>
  <si>
    <t>15</t>
  </si>
  <si>
    <t>50</t>
  </si>
  <si>
    <t>Lüganuse Kooli kulude vähendamine tulenevalt kooli sulgemisest</t>
  </si>
  <si>
    <t>095103</t>
  </si>
  <si>
    <t>Kiviõli Kunstide Kool VE</t>
  </si>
  <si>
    <t xml:space="preserve">Personalikulude vähendamine, kuna need tööjõukulud kaetakse riigi huvihariduse toetuse vahenditest vastavalt volikogu poolt kinnitatud huvitegevuse kavale. </t>
  </si>
  <si>
    <t>096016</t>
  </si>
  <si>
    <t>Lüganuse Kool toitlustamine VE</t>
  </si>
  <si>
    <t>Toitlustamiskulude suurendamine Marjakese Lasteaia toitlustamiskulude arvelt, kuna Lüganuse Kooli söökla valmistas lasteaiale sööki lasteaia koka haiguslehel viibimise ajal</t>
  </si>
  <si>
    <t>096018</t>
  </si>
  <si>
    <t>Maidla Kool toitlustamine VE</t>
  </si>
  <si>
    <t>Toitlustamiskulude suurenemine Sonda kooli toitlustamiskulude arvelt, kuna Sonda kooli toitlustab Maidla kooli köök</t>
  </si>
  <si>
    <t>0960110</t>
  </si>
  <si>
    <t>Sonda Kool toitlustamine VE</t>
  </si>
  <si>
    <t>Toitlustamiskulude viimine Maidla Kooli lasteasutuse alla summas 3500 eurot ja Maidla Kooli alla summas 350 eurot, kuna Sonda kooli ja lasteaeda toitlustab Maidla kooli köök</t>
  </si>
  <si>
    <t>41</t>
  </si>
  <si>
    <t>KULUDE MUUTUS (vähenemine) KOKKU:</t>
  </si>
  <si>
    <t>Finantseerimistegevus</t>
  </si>
  <si>
    <t>Kohustuste võtmine</t>
  </si>
  <si>
    <t>Õunapuuparkide arh-konkursi võidutöö projekteerimine</t>
  </si>
  <si>
    <t>Ühise pere-ja noortekeskuse arendamine Viru 9 ruumides</t>
  </si>
  <si>
    <t>Muuta laenu arvelt tehtavaid investeeringuid järgmiselt</t>
  </si>
  <si>
    <t xml:space="preserve">Õunapuuparkide arh-konkursi võidutöö projekteerimine jääb ära </t>
  </si>
  <si>
    <t>Ühise pere-ja noortekeskuse projekteerimiseks Viru 9 ruumides jääb ära</t>
  </si>
  <si>
    <t>Investeeringute suurendamine 30000 euro võrra Lüganuse valla territooriumi niitmiskulude vähendamise arvelt, kuna niitmisega hakkab tegelema Lüganuse valla majanduskeskus, kuhu ostetakse 2 uut niidukit.</t>
  </si>
  <si>
    <t>Sonda veevarustuse kulude vähendamine, kuna see antakse üle Järve Biopuhastusele</t>
  </si>
  <si>
    <t>Energiahinna tõusu hüvitamise toetus (eraisikud)</t>
  </si>
  <si>
    <t>Polikliiniku hoone ukse klaasikahju hüvitis</t>
  </si>
  <si>
    <t>Energiakulude tõusu hüvitamine (eraisikud)</t>
  </si>
  <si>
    <t>Selles osas näidatakse tekkepõhise eelarve korral nõuete ja kohustuste saldode vahet 31.12.2021 seisuga. Kulude katteks suunatakse 234 000 eurot, kuna nõuded on suuremad.</t>
  </si>
  <si>
    <t>Soojuspumpade paigaldamine, töövõtuleping</t>
  </si>
  <si>
    <t>Igapäevaelu toetamise projekti kasutamata vahendid</t>
  </si>
  <si>
    <t>Niitmiskulude eelarve vähendamine ja suunamine Lüganuse valla majanduskeskuse eelarve personalikuludesse, et võtta tööle kaks lepingulist niitjat</t>
  </si>
  <si>
    <t>Alates 2022.a saab staadionite haldusega tegelev töötaja töötasu MTÜ Jalgpalliklubi Irbis alt, seetõttu suunatakse 11770 art 45, lisaks vähendatakse eelarves olevaid personalikulusid</t>
  </si>
  <si>
    <r>
      <t xml:space="preserve">2.4 Muuta Lüganuse valla 2022.a </t>
    </r>
    <r>
      <rPr>
        <b/>
        <sz val="11"/>
        <color rgb="FF000000"/>
        <rFont val="Calibri"/>
        <family val="2"/>
        <charset val="186"/>
      </rPr>
      <t>finantseerimistegevuse</t>
    </r>
    <r>
      <rPr>
        <sz val="11"/>
        <color theme="1"/>
        <rFont val="Calibri"/>
        <family val="2"/>
        <scheme val="minor"/>
      </rPr>
      <t xml:space="preserve"> eelarvet järgmiselt:</t>
    </r>
  </si>
  <si>
    <t>Toetus Kiviõli I Keskkoolile: Teooriast praktikani: lõimitud aine ja keeleõpe</t>
  </si>
  <si>
    <t>Erasmus projekti toetus Kiviõli I Keskkoolile</t>
  </si>
  <si>
    <t xml:space="preserve"> "Kahaneva rahvastikuga piirkondades probleemsete korterelamute elanike ümberasustamine ja kasutusest väljalangenud korterelamute lammutamine“ kulud</t>
  </si>
  <si>
    <t>Erasmus + programmI kulud, õpetajate koolituse toetus „Teooriast praktikani: lõimitud
aine-ja keeleõppe rakendamine“</t>
  </si>
  <si>
    <t>Sotsiaalkindlustusameti igapäevaelu toetamise projekti toetus</t>
  </si>
  <si>
    <t>Tunnus</t>
  </si>
  <si>
    <t>Kirje nimetus</t>
  </si>
  <si>
    <t>Eelarve kokku</t>
  </si>
  <si>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</si>
  <si>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</si>
  <si>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</si>
  <si>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</si>
  <si>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</si>
  <si>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</si>
  <si>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</si>
  <si>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32</t>
  </si>
  <si>
    <t>Tulud kaupade ja teenuste müügist</t>
  </si>
  <si>
    <t>Saadavad toetused tegevuskuludeks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</si>
  <si>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</si>
  <si>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</si>
  <si>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</si>
  <si>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</si>
  <si>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</si>
  <si>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</si>
  <si>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</si>
  <si>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</si>
  <si>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</si>
  <si>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3818</t>
  </si>
  <si>
    <t>Tulud varude müügist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</si>
  <si>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</si>
  <si>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</si>
  <si>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</si>
  <si>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</si>
  <si>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</si>
  <si>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413</t>
  </si>
  <si>
    <t>Sotsiaalabitoetused ja muud toetused füüsilistele isikutele</t>
  </si>
  <si>
    <t>4500</t>
  </si>
  <si>
    <t>Sihtotstarbelised toetused tegevuskuludeks</t>
  </si>
  <si>
    <t>452</t>
  </si>
  <si>
    <t>Mittesihtotstarbelised toetused</t>
  </si>
  <si>
    <t>Muud tegevuskulud</t>
  </si>
  <si>
    <t>Tööjõukulud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</si>
  <si>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</si>
  <si>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</si>
  <si>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</si>
  <si>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</si>
  <si>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</si>
  <si>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</si>
  <si>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</si>
  <si>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Põhivara soetus (-)</t>
  </si>
  <si>
    <t xml:space="preserve">Põhivara soetuseks saadav sihtfinantseerimine(+) </t>
  </si>
  <si>
    <t>4502</t>
  </si>
  <si>
    <t>Põhivara soetuseks antav sihtfinantseerimine(-)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</si>
  <si>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</si>
  <si>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</si>
  <si>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</si>
  <si>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</si>
  <si>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</si>
  <si>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</si>
  <si>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</si>
  <si>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</si>
  <si>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</si>
  <si>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</si>
  <si>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</si>
  <si>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</si>
  <si>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</si>
  <si>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</si>
  <si>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</si>
  <si>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</si>
  <si>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01114</t>
  </si>
  <si>
    <t>Reservfond</t>
  </si>
  <si>
    <t>01330</t>
  </si>
  <si>
    <t>Muud üldised teenused</t>
  </si>
  <si>
    <t>01600</t>
  </si>
  <si>
    <t xml:space="preserve">Muud üldised valitsussektori teenused  </t>
  </si>
  <si>
    <t>01700</t>
  </si>
  <si>
    <t>Valitsussektori võla teenindamine</t>
  </si>
  <si>
    <t>03</t>
  </si>
  <si>
    <t>Avalik kord ja julgeolek</t>
  </si>
  <si>
    <t>03600</t>
  </si>
  <si>
    <t>Muu avalik kord ja julgeolek kokku</t>
  </si>
  <si>
    <t>04</t>
  </si>
  <si>
    <t>Majandus</t>
  </si>
  <si>
    <t>Maanteetransport (vallateede- ja tänavate korrashoid)</t>
  </si>
  <si>
    <t>04512</t>
  </si>
  <si>
    <t>Ühistranspordi korraldus</t>
  </si>
  <si>
    <t>Muu majandus (sh.majanduse haldamine)</t>
  </si>
  <si>
    <t>05</t>
  </si>
  <si>
    <t>Keskkonnakaitse</t>
  </si>
  <si>
    <t>05100</t>
  </si>
  <si>
    <t>Jäätmekäitlus (prügivedu)</t>
  </si>
  <si>
    <t>05100_1</t>
  </si>
  <si>
    <t>Jäätmekäitlus</t>
  </si>
  <si>
    <t>05100_2</t>
  </si>
  <si>
    <t>Erra OJKP</t>
  </si>
  <si>
    <t>Bioloogilise mitmekesisuse ja maastiku kaitse</t>
  </si>
  <si>
    <t>06</t>
  </si>
  <si>
    <t>Elamu- ja kommunaalmajandus</t>
  </si>
  <si>
    <t>06400</t>
  </si>
  <si>
    <t>Tänavavalgustus</t>
  </si>
  <si>
    <t>06605</t>
  </si>
  <si>
    <t>Muu elamu- ja kommunaalmajanduse tegevus</t>
  </si>
  <si>
    <t>06605_1</t>
  </si>
  <si>
    <t>06605_2</t>
  </si>
  <si>
    <t>06605_3</t>
  </si>
  <si>
    <t>Kiviõli saunad</t>
  </si>
  <si>
    <t>06605_6</t>
  </si>
  <si>
    <t>07</t>
  </si>
  <si>
    <t>Tervishoid</t>
  </si>
  <si>
    <t>07210</t>
  </si>
  <si>
    <t>Üldmeditsiiniteenused</t>
  </si>
  <si>
    <t>07210_1</t>
  </si>
  <si>
    <t>07210_2</t>
  </si>
  <si>
    <t>Püssi perearstikabinet</t>
  </si>
  <si>
    <t>07210_3</t>
  </si>
  <si>
    <t>Muu tervishoid (Tervishoiu haldamine)</t>
  </si>
  <si>
    <t>08</t>
  </si>
  <si>
    <t>Vaba aeg, kultuur ja religioon</t>
  </si>
  <si>
    <t xml:space="preserve">Sporditegevus </t>
  </si>
  <si>
    <t>Puhkepargid ja -baasid</t>
  </si>
  <si>
    <t>08107</t>
  </si>
  <si>
    <t>Noorsootöö ja noortekeskused</t>
  </si>
  <si>
    <t>08107_1</t>
  </si>
  <si>
    <t>Püssi Noortekeskus</t>
  </si>
  <si>
    <t>08107_2</t>
  </si>
  <si>
    <t>Maidla Noortekeskus</t>
  </si>
  <si>
    <t>08107_3</t>
  </si>
  <si>
    <t>Lüganuse Noortemaja</t>
  </si>
  <si>
    <t>08107_5</t>
  </si>
  <si>
    <t>Kiviõli Noortekeskus</t>
  </si>
  <si>
    <t>08107_6</t>
  </si>
  <si>
    <t>08107_7</t>
  </si>
  <si>
    <t>08107_8</t>
  </si>
  <si>
    <t>08107_9</t>
  </si>
  <si>
    <t>08107_10</t>
  </si>
  <si>
    <t>08109</t>
  </si>
  <si>
    <t>Vaba aja tegevused</t>
  </si>
  <si>
    <t>08201</t>
  </si>
  <si>
    <t>Raamatukogud</t>
  </si>
  <si>
    <t>08201_1</t>
  </si>
  <si>
    <t>08201_2</t>
  </si>
  <si>
    <t>08201_3</t>
  </si>
  <si>
    <t>08202</t>
  </si>
  <si>
    <t>Rahva- ja kultuurimajad</t>
  </si>
  <si>
    <t>08202_1</t>
  </si>
  <si>
    <t>08202_2</t>
  </si>
  <si>
    <t>08202_3</t>
  </si>
  <si>
    <t>08202_4</t>
  </si>
  <si>
    <t>08202_5</t>
  </si>
  <si>
    <t>08300</t>
  </si>
  <si>
    <t>Ringhäälingu- ja kirjastamisteenused</t>
  </si>
  <si>
    <t>08600</t>
  </si>
  <si>
    <t>Muu vabaaeg, kultuur, religioon</t>
  </si>
  <si>
    <t>08600_1</t>
  </si>
  <si>
    <t>Muu vabaaeg, kultuur, religioon (huvitegevus)</t>
  </si>
  <si>
    <t>08600_3</t>
  </si>
  <si>
    <t xml:space="preserve">Muu vabaaeg, kultuur, religioon </t>
  </si>
  <si>
    <t>09</t>
  </si>
  <si>
    <t>Haridus</t>
  </si>
  <si>
    <t>09110</t>
  </si>
  <si>
    <t>Alusharidus (lasteaiad)</t>
  </si>
  <si>
    <t>09110_1</t>
  </si>
  <si>
    <t>09110_2</t>
  </si>
  <si>
    <t>09110_3</t>
  </si>
  <si>
    <t>09110_4</t>
  </si>
  <si>
    <t>09110_5</t>
  </si>
  <si>
    <t>09110_6</t>
  </si>
  <si>
    <t>09110_7</t>
  </si>
  <si>
    <t>09110_8</t>
  </si>
  <si>
    <t>09110_9</t>
  </si>
  <si>
    <t>Lasteaiateenuse ostmise kulud</t>
  </si>
  <si>
    <t>09212</t>
  </si>
  <si>
    <t>Põhikoolid/Põhihariduse otsekulud</t>
  </si>
  <si>
    <t>09212_1</t>
  </si>
  <si>
    <t>09212_2</t>
  </si>
  <si>
    <t>09212_3</t>
  </si>
  <si>
    <t>Lüganuse Keskkool RE</t>
  </si>
  <si>
    <t>09212_4</t>
  </si>
  <si>
    <t>09212_5</t>
  </si>
  <si>
    <t>09212_6</t>
  </si>
  <si>
    <t>09212_7</t>
  </si>
  <si>
    <t>09212_8</t>
  </si>
  <si>
    <t>09212_9</t>
  </si>
  <si>
    <t>09212_10</t>
  </si>
  <si>
    <t>09212_11</t>
  </si>
  <si>
    <t>Õpilaskoha teenuse ostmise kulud</t>
  </si>
  <si>
    <t>09213</t>
  </si>
  <si>
    <t>Üldkeskhariduse otsekulud</t>
  </si>
  <si>
    <t>09213_1</t>
  </si>
  <si>
    <t>09510</t>
  </si>
  <si>
    <t xml:space="preserve">Noorte huviharidus ja huvitegevus </t>
  </si>
  <si>
    <t>09510_1</t>
  </si>
  <si>
    <t>Maidla Huvikool VE</t>
  </si>
  <si>
    <t>09510_3</t>
  </si>
  <si>
    <t>09510_4</t>
  </si>
  <si>
    <t>09510_5</t>
  </si>
  <si>
    <t>Huvihariduse teenuse ostmise kulud</t>
  </si>
  <si>
    <t>09600</t>
  </si>
  <si>
    <t>Koolitransport</t>
  </si>
  <si>
    <t>09601</t>
  </si>
  <si>
    <t>Koolitoit</t>
  </si>
  <si>
    <t>09601_1</t>
  </si>
  <si>
    <t>Kiviõli Vene Kool RE (koolilõuna)</t>
  </si>
  <si>
    <t>09601_2</t>
  </si>
  <si>
    <t>Kiviõli Vene Kool VE (toitlustamine)</t>
  </si>
  <si>
    <t>09601_3</t>
  </si>
  <si>
    <t>Kiviõli I Keskkool RE (koolilõuna)</t>
  </si>
  <si>
    <t>09601_4</t>
  </si>
  <si>
    <t>Kiviõli I Keskkool VE (toitlustamine)</t>
  </si>
  <si>
    <t>09601_5</t>
  </si>
  <si>
    <t>Lüganuse Kool RE (koolilõuna)</t>
  </si>
  <si>
    <t>09601_6</t>
  </si>
  <si>
    <t>Lüganuse Kool VE (toitlustamine)</t>
  </si>
  <si>
    <t>09601_7</t>
  </si>
  <si>
    <t>Maidla Kool RE (koolilõuna)</t>
  </si>
  <si>
    <t>09601_8</t>
  </si>
  <si>
    <t>Maidla Kool VE (totilustamine)</t>
  </si>
  <si>
    <t>09601_9</t>
  </si>
  <si>
    <t>Sonda Kool RE (koolilõuna)</t>
  </si>
  <si>
    <t>09601_10</t>
  </si>
  <si>
    <t>Sonda Kool VE (toitlustamine)</t>
  </si>
  <si>
    <t>10</t>
  </si>
  <si>
    <t>Sotsiaalne kaitse</t>
  </si>
  <si>
    <t>10200</t>
  </si>
  <si>
    <t>Eakate sotsiaalhoolekande asutused</t>
  </si>
  <si>
    <t>10200_1</t>
  </si>
  <si>
    <t>Eakate sotsiaalhoolekande asutused (hooldekodud)</t>
  </si>
  <si>
    <t>10200_2</t>
  </si>
  <si>
    <t>10200_3</t>
  </si>
  <si>
    <t>Lüganuse Päevakeskus</t>
  </si>
  <si>
    <t>10200_4</t>
  </si>
  <si>
    <t>Savala Päevakeskus</t>
  </si>
  <si>
    <t>10200_5</t>
  </si>
  <si>
    <t>Püssi Päevakeskus</t>
  </si>
  <si>
    <t>10200_6</t>
  </si>
  <si>
    <t>Purtse Päevakeskus</t>
  </si>
  <si>
    <t>10200_7</t>
  </si>
  <si>
    <t>Sonda Päevakeskus</t>
  </si>
  <si>
    <t>10201</t>
  </si>
  <si>
    <t>Muu eakate sotsiaalne kaitse</t>
  </si>
  <si>
    <t>10702</t>
  </si>
  <si>
    <t>Muu sotsiaalsete riskirühmade kaitse</t>
  </si>
  <si>
    <t>Muu sotsiaalne kaitse, sh. sotsiaalse kaitse haldus</t>
  </si>
  <si>
    <t>Tasakaalu kontroll</t>
  </si>
  <si>
    <t>Kontroll: majandusliku sisu ja tegevusalade võrdlus</t>
  </si>
  <si>
    <t>Eelarve seisuga 14.04.2022</t>
  </si>
  <si>
    <t xml:space="preserve">Lisaeelarve nr 1 </t>
  </si>
  <si>
    <t>EELNÕU</t>
  </si>
  <si>
    <t>Vähekindlustatusega seotud kulud suurenemine, kuna toetuse saajate arv suureneb (sõjapõgenikud)</t>
  </si>
  <si>
    <t>Lüganuse valla 2022. a lisaeelarve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</si>
</sst>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color rgb="FF000000"/>
      <name val="Calibri"/>
      <family val="2"/>
      <charset val="186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186"/>
    </font>
    <font>
      <b/>
      <sz val="8"/>
      <color rgb="FF000000"/>
      <name val="Arial"/>
      <family val="2"/>
      <charset val="186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charset val="186"/>
    </font>
    <font>
      <sz val="12"/>
      <color rgb="FF000000"/>
      <name val="Calibri"/>
      <family val="2"/>
      <charset val="186"/>
      <scheme val="minor"/>
    </font>
    <font>
      <sz val="8"/>
      <color rgb="FF000000"/>
      <name val="Arial"/>
      <family val="2"/>
      <charset val="186"/>
    </font>
    <font>
      <b/>
      <sz val="12"/>
      <color rgb="FF000000"/>
      <name val="Calibri"/>
      <family val="2"/>
      <charset val="186"/>
    </font>
    <font>
      <i/>
      <sz val="8"/>
      <color rgb="FF000000"/>
      <name val="Arial"/>
      <family val="2"/>
    </font>
    <font>
      <b/>
      <sz val="11"/>
      <color theme="1"/>
      <name val="Calibri"/>
      <family val="2"/>
      <charset val="186"/>
      <scheme val="minor"/>
    </font>
    <font>
      <i/>
      <sz val="9"/>
      <name val="Calibri"/>
      <family val="2"/>
    </font>
    <font>
      <b/>
      <sz val="8"/>
      <name val="Arial"/>
      <family val="2"/>
      <charset val="186"/>
    </font>
    <font>
      <b/>
      <sz val="12"/>
      <color rgb="FF000000"/>
      <name val="Arial"/>
      <family val="2"/>
      <charset val="186"/>
    </font>
    <font>
      <b/>
      <sz val="10"/>
      <color rgb="FF000000"/>
      <name val="Calibri"/>
      <family val="2"/>
      <charset val="186"/>
    </font>
    <font>
      <sz val="8"/>
      <color rgb="FF000000"/>
      <name val="Arial"/>
      <family val="2"/>
    </font>
    <font>
      <i/>
      <sz val="8"/>
      <color rgb="FF000000"/>
      <name val="Arial"/>
      <family val="2"/>
      <charset val="186"/>
    </font>
    <font>
      <i/>
      <sz val="8"/>
      <name val="Arial"/>
      <family val="2"/>
      <charset val="186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left" vertical="top"/>
    </xf>
    <xf numFmtId="4" fontId="5" fillId="0" borderId="3" xfId="0" applyNumberFormat="1" applyFont="1" applyBorder="1" applyAlignment="1">
      <alignment vertical="top"/>
    </xf>
    <xf numFmtId="49" fontId="6" fillId="0" borderId="3" xfId="0" applyNumberFormat="1" applyFont="1" applyBorder="1" applyAlignment="1">
      <alignment horizontal="left" vertical="top"/>
    </xf>
    <xf numFmtId="4" fontId="6" fillId="0" borderId="3" xfId="0" applyNumberFormat="1" applyFont="1" applyBorder="1" applyAlignment="1">
      <alignment vertical="top"/>
    </xf>
    <xf numFmtId="0" fontId="6" fillId="0" borderId="0" xfId="0" applyFont="1"/>
    <xf numFmtId="0" fontId="5" fillId="0" borderId="0" xfId="0" applyFont="1"/>
    <xf numFmtId="4" fontId="0" fillId="0" borderId="3" xfId="0" applyNumberFormat="1" applyBorder="1" applyAlignment="1">
      <alignment vertical="top"/>
    </xf>
    <xf numFmtId="0" fontId="7" fillId="0" borderId="0" xfId="0" applyFont="1"/>
    <xf numFmtId="49" fontId="5" fillId="0" borderId="2" xfId="0" applyNumberFormat="1" applyFont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top"/>
    </xf>
    <xf numFmtId="49" fontId="5" fillId="3" borderId="2" xfId="0" applyNumberFormat="1" applyFont="1" applyFill="1" applyBorder="1" applyAlignment="1">
      <alignment vertical="top"/>
    </xf>
    <xf numFmtId="49" fontId="5" fillId="3" borderId="2" xfId="0" applyNumberFormat="1" applyFont="1" applyFill="1" applyBorder="1" applyAlignment="1">
      <alignment vertical="top" wrapText="1"/>
    </xf>
    <xf numFmtId="0" fontId="0" fillId="3" borderId="4" xfId="0" applyFill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1" fontId="0" fillId="0" borderId="3" xfId="0" applyNumberFormat="1" applyBorder="1" applyAlignment="1">
      <alignment horizontal="right" vertical="top"/>
    </xf>
    <xf numFmtId="49" fontId="5" fillId="3" borderId="3" xfId="0" applyNumberFormat="1" applyFont="1" applyFill="1" applyBorder="1" applyAlignment="1">
      <alignment vertical="top"/>
    </xf>
    <xf numFmtId="49" fontId="5" fillId="3" borderId="1" xfId="0" applyNumberFormat="1" applyFont="1" applyFill="1" applyBorder="1" applyAlignment="1">
      <alignment vertical="top"/>
    </xf>
    <xf numFmtId="0" fontId="0" fillId="3" borderId="2" xfId="0" applyFill="1" applyBorder="1"/>
    <xf numFmtId="4" fontId="0" fillId="0" borderId="3" xfId="0" applyNumberFormat="1" applyBorder="1" applyAlignment="1">
      <alignment horizontal="right" vertical="center"/>
    </xf>
    <xf numFmtId="1" fontId="0" fillId="0" borderId="3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horizontal="left" vertical="center"/>
    </xf>
    <xf numFmtId="0" fontId="10" fillId="0" borderId="0" xfId="0" applyFont="1"/>
    <xf numFmtId="4" fontId="0" fillId="0" borderId="14" xfId="0" applyNumberFormat="1" applyBorder="1" applyAlignment="1">
      <alignment vertical="top"/>
    </xf>
    <xf numFmtId="1" fontId="0" fillId="0" borderId="14" xfId="0" applyNumberFormat="1" applyBorder="1" applyAlignment="1">
      <alignment vertical="top"/>
    </xf>
    <xf numFmtId="49" fontId="5" fillId="3" borderId="2" xfId="0" applyNumberFormat="1" applyFont="1" applyFill="1" applyBorder="1" applyAlignment="1">
      <alignment horizontal="left" vertical="top"/>
    </xf>
    <xf numFmtId="49" fontId="0" fillId="0" borderId="13" xfId="0" applyNumberFormat="1" applyBorder="1" applyAlignment="1">
      <alignment horizontal="left" vertical="center"/>
    </xf>
    <xf numFmtId="4" fontId="10" fillId="0" borderId="3" xfId="0" applyNumberFormat="1" applyFont="1" applyBorder="1" applyAlignment="1">
      <alignment vertical="top"/>
    </xf>
    <xf numFmtId="1" fontId="10" fillId="0" borderId="3" xfId="0" applyNumberFormat="1" applyFont="1" applyBorder="1" applyAlignment="1">
      <alignment horizontal="right" vertical="top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0" fontId="5" fillId="2" borderId="2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4" fontId="13" fillId="0" borderId="0" xfId="0" applyNumberFormat="1" applyFont="1"/>
    <xf numFmtId="4" fontId="0" fillId="0" borderId="0" xfId="0" applyNumberFormat="1" applyAlignment="1">
      <alignment wrapText="1"/>
    </xf>
    <xf numFmtId="0" fontId="13" fillId="0" borderId="0" xfId="0" applyFont="1" applyAlignment="1">
      <alignment horizontal="right"/>
    </xf>
    <xf numFmtId="3" fontId="15" fillId="0" borderId="0" xfId="0" applyNumberFormat="1" applyFont="1"/>
    <xf numFmtId="3" fontId="11" fillId="0" borderId="0" xfId="0" applyNumberFormat="1" applyFont="1"/>
    <xf numFmtId="49" fontId="0" fillId="0" borderId="14" xfId="0" applyNumberFormat="1" applyBorder="1" applyAlignment="1">
      <alignment horizontal="left" vertical="center"/>
    </xf>
    <xf numFmtId="4" fontId="5" fillId="2" borderId="14" xfId="0" applyNumberFormat="1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7" fillId="0" borderId="0" xfId="0" applyFont="1"/>
    <xf numFmtId="1" fontId="0" fillId="0" borderId="2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49" fontId="5" fillId="3" borderId="3" xfId="0" applyNumberFormat="1" applyFont="1" applyFill="1" applyBorder="1" applyAlignment="1">
      <alignment horizontal="left" vertical="top"/>
    </xf>
    <xf numFmtId="49" fontId="0" fillId="0" borderId="3" xfId="0" applyNumberFormat="1" applyBorder="1" applyAlignment="1">
      <alignment horizontal="right" vertical="top"/>
    </xf>
    <xf numFmtId="49" fontId="0" fillId="0" borderId="0" xfId="0" applyNumberFormat="1" applyAlignment="1">
      <alignment vertical="top" wrapText="1"/>
    </xf>
    <xf numFmtId="4" fontId="15" fillId="0" borderId="0" xfId="0" applyNumberFormat="1" applyFont="1" applyAlignment="1">
      <alignment horizontal="right" vertical="center" wrapText="1"/>
    </xf>
    <xf numFmtId="49" fontId="18" fillId="0" borderId="3" xfId="0" applyNumberFormat="1" applyFont="1" applyBorder="1" applyAlignment="1">
      <alignment horizontal="left" vertical="top"/>
    </xf>
    <xf numFmtId="4" fontId="18" fillId="0" borderId="3" xfId="0" applyNumberFormat="1" applyFont="1" applyBorder="1" applyAlignment="1">
      <alignment vertical="top"/>
    </xf>
    <xf numFmtId="49" fontId="0" fillId="0" borderId="3" xfId="0" applyNumberFormat="1" applyBorder="1" applyAlignment="1">
      <alignment horizontal="left" vertical="top"/>
    </xf>
    <xf numFmtId="49" fontId="5" fillId="0" borderId="0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 vertical="top"/>
    </xf>
    <xf numFmtId="1" fontId="0" fillId="0" borderId="0" xfId="0" applyNumberFormat="1" applyBorder="1" applyAlignment="1">
      <alignment horizontal="center"/>
    </xf>
    <xf numFmtId="4" fontId="19" fillId="0" borderId="0" xfId="0" applyNumberFormat="1" applyFont="1"/>
    <xf numFmtId="0" fontId="15" fillId="0" borderId="0" xfId="0" applyFont="1"/>
    <xf numFmtId="4" fontId="20" fillId="0" borderId="0" xfId="0" applyNumberFormat="1" applyFont="1"/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left" wrapText="1"/>
    </xf>
    <xf numFmtId="4" fontId="11" fillId="0" borderId="19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left" wrapText="1"/>
    </xf>
    <xf numFmtId="4" fontId="11" fillId="0" borderId="21" xfId="0" applyNumberFormat="1" applyFont="1" applyBorder="1" applyAlignment="1">
      <alignment horizontal="right"/>
    </xf>
    <xf numFmtId="49" fontId="15" fillId="0" borderId="8" xfId="0" applyNumberFormat="1" applyFont="1" applyBorder="1" applyAlignment="1">
      <alignment horizontal="left" wrapText="1"/>
    </xf>
    <xf numFmtId="4" fontId="15" fillId="0" borderId="15" xfId="0" applyNumberFormat="1" applyFont="1" applyBorder="1"/>
    <xf numFmtId="4" fontId="15" fillId="0" borderId="19" xfId="0" applyNumberFormat="1" applyFont="1" applyBorder="1"/>
    <xf numFmtId="4" fontId="11" fillId="0" borderId="22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left" wrapText="1"/>
    </xf>
    <xf numFmtId="4" fontId="11" fillId="0" borderId="15" xfId="0" applyNumberFormat="1" applyFont="1" applyBorder="1" applyAlignment="1">
      <alignment horizontal="right"/>
    </xf>
    <xf numFmtId="49" fontId="24" fillId="0" borderId="8" xfId="0" applyNumberFormat="1" applyFont="1" applyBorder="1" applyAlignment="1">
      <alignment horizontal="left" wrapText="1"/>
    </xf>
    <xf numFmtId="4" fontId="24" fillId="0" borderId="15" xfId="0" applyNumberFormat="1" applyFont="1" applyBorder="1" applyAlignment="1">
      <alignment horizontal="right"/>
    </xf>
    <xf numFmtId="0" fontId="24" fillId="0" borderId="0" xfId="0" applyFont="1"/>
    <xf numFmtId="49" fontId="15" fillId="0" borderId="20" xfId="0" applyNumberFormat="1" applyFont="1" applyBorder="1" applyAlignment="1">
      <alignment horizontal="left" wrapText="1"/>
    </xf>
    <xf numFmtId="4" fontId="15" fillId="0" borderId="21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left" wrapText="1"/>
    </xf>
    <xf numFmtId="4" fontId="15" fillId="0" borderId="14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left" wrapText="1"/>
    </xf>
    <xf numFmtId="4" fontId="25" fillId="0" borderId="0" xfId="0" applyNumberFormat="1" applyFont="1"/>
    <xf numFmtId="4" fontId="24" fillId="0" borderId="0" xfId="0" applyNumberFormat="1" applyFont="1"/>
    <xf numFmtId="0" fontId="22" fillId="4" borderId="17" xfId="0" applyFont="1" applyFill="1" applyBorder="1" applyAlignment="1">
      <alignment horizontal="center" vertical="center" wrapText="1"/>
    </xf>
    <xf numFmtId="0" fontId="26" fillId="0" borderId="0" xfId="0" applyFont="1"/>
    <xf numFmtId="0" fontId="21" fillId="0" borderId="0" xfId="0" applyFont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left" vertical="center" wrapText="1"/>
    </xf>
    <xf numFmtId="1" fontId="0" fillId="0" borderId="6" xfId="0" applyNumberFormat="1" applyBorder="1" applyAlignment="1">
      <alignment horizontal="left" vertical="center" wrapText="1"/>
    </xf>
    <xf numFmtId="1" fontId="0" fillId="0" borderId="7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" fontId="0" fillId="0" borderId="12" xfId="0" applyNumberForma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top"/>
    </xf>
    <xf numFmtId="49" fontId="5" fillId="3" borderId="2" xfId="0" applyNumberFormat="1" applyFont="1" applyFill="1" applyBorder="1" applyAlignment="1">
      <alignment horizontal="left" vertical="top"/>
    </xf>
    <xf numFmtId="49" fontId="5" fillId="3" borderId="4" xfId="0" applyNumberFormat="1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1" fontId="0" fillId="0" borderId="1" xfId="0" applyNumberForma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49" fontId="0" fillId="0" borderId="3" xfId="0" applyNumberForma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" fontId="0" fillId="0" borderId="1" xfId="0" applyNumberForma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wrapText="1"/>
    </xf>
    <xf numFmtId="1" fontId="0" fillId="0" borderId="4" xfId="0" applyNumberFormat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49" fontId="0" fillId="0" borderId="1" xfId="0" applyNumberFormat="1" applyBorder="1" applyAlignment="1">
      <alignment vertical="top"/>
    </xf>
    <xf numFmtId="49" fontId="0" fillId="0" borderId="2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" fontId="0" fillId="0" borderId="1" xfId="0" applyNumberFormat="1" applyBorder="1" applyAlignment="1">
      <alignment horizontal="left" vertical="top" wrapText="1" shrinkToFit="1"/>
    </xf>
    <xf numFmtId="1" fontId="0" fillId="0" borderId="2" xfId="0" applyNumberFormat="1" applyBorder="1" applyAlignment="1">
      <alignment horizontal="left" vertical="top" wrapText="1" shrinkToFit="1"/>
    </xf>
    <xf numFmtId="1" fontId="0" fillId="0" borderId="4" xfId="0" applyNumberFormat="1" applyBorder="1" applyAlignment="1">
      <alignment horizontal="left" vertical="top" wrapText="1" shrinkToFi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" fontId="0" fillId="0" borderId="5" xfId="0" applyNumberFormat="1" applyBorder="1" applyAlignment="1">
      <alignment horizontal="left" vertical="center" wrapText="1" shrinkToFit="1"/>
    </xf>
    <xf numFmtId="1" fontId="0" fillId="0" borderId="6" xfId="0" applyNumberFormat="1" applyBorder="1" applyAlignment="1">
      <alignment horizontal="left" vertical="center" wrapText="1" shrinkToFit="1"/>
    </xf>
    <xf numFmtId="1" fontId="0" fillId="0" borderId="7" xfId="0" applyNumberFormat="1" applyBorder="1" applyAlignment="1">
      <alignment horizontal="left" vertical="center" wrapText="1" shrinkToFit="1"/>
    </xf>
    <xf numFmtId="1" fontId="0" fillId="0" borderId="10" xfId="0" applyNumberFormat="1" applyBorder="1" applyAlignment="1">
      <alignment horizontal="left" vertical="center" wrapText="1" shrinkToFit="1"/>
    </xf>
    <xf numFmtId="1" fontId="0" fillId="0" borderId="11" xfId="0" applyNumberFormat="1" applyBorder="1" applyAlignment="1">
      <alignment horizontal="left" vertical="center" wrapText="1" shrinkToFit="1"/>
    </xf>
    <xf numFmtId="1" fontId="0" fillId="0" borderId="12" xfId="0" applyNumberFormat="1" applyBorder="1" applyAlignment="1">
      <alignment horizontal="left" vertical="center" wrapText="1" shrinkToFit="1"/>
    </xf>
    <xf numFmtId="49" fontId="0" fillId="0" borderId="8" xfId="0" applyNumberFormat="1" applyBorder="1" applyAlignment="1">
      <alignment horizontal="left" vertical="center"/>
    </xf>
    <xf numFmtId="1" fontId="0" fillId="0" borderId="5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1" fontId="0" fillId="0" borderId="7" xfId="0" applyNumberFormat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" fontId="0" fillId="0" borderId="9" xfId="0" applyNumberForma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left" vertical="top" wrapText="1"/>
    </xf>
    <xf numFmtId="1" fontId="9" fillId="0" borderId="4" xfId="0" applyNumberFormat="1" applyFont="1" applyBorder="1" applyAlignment="1">
      <alignment horizontal="left" vertical="top" wrapText="1"/>
    </xf>
    <xf numFmtId="1" fontId="9" fillId="0" borderId="8" xfId="0" applyNumberFormat="1" applyFont="1" applyBorder="1" applyAlignment="1">
      <alignment horizontal="left" vertical="center" wrapText="1"/>
    </xf>
    <xf numFmtId="1" fontId="9" fillId="0" borderId="0" xfId="0" applyNumberFormat="1" applyFont="1" applyAlignment="1">
      <alignment horizontal="left" vertical="center" wrapText="1"/>
    </xf>
    <xf numFmtId="1" fontId="9" fillId="0" borderId="9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5" fillId="0" borderId="1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15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" fontId="0" fillId="0" borderId="10" xfId="0" applyNumberFormat="1" applyBorder="1" applyAlignment="1">
      <alignment horizontal="left" vertical="top" wrapText="1"/>
    </xf>
    <xf numFmtId="1" fontId="0" fillId="0" borderId="11" xfId="0" applyNumberFormat="1" applyBorder="1" applyAlignment="1">
      <alignment horizontal="left" vertical="top" wrapText="1"/>
    </xf>
    <xf numFmtId="1" fontId="0" fillId="0" borderId="12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2\2022.a%20eelarve%20t&#246;&#246;f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lud"/>
      <sheetName val="Kulud"/>
      <sheetName val="Eelarve koond"/>
      <sheetName val="Koond lisaeelarve"/>
      <sheetName val="Investeeringud"/>
      <sheetName val="Lisaeelarve nr 1"/>
      <sheetName val="Lisaeelarve nr 2"/>
      <sheetName val="Nõuded-koh."/>
      <sheetName val="ületulevad jäägid"/>
      <sheetName val="Koolide juhid"/>
      <sheetName val="Lasteaiaõpetajate palgad"/>
      <sheetName val="Projektide arvestus"/>
      <sheetName val="Lüganuse Kool"/>
    </sheetNames>
    <sheetDataSet>
      <sheetData sheetId="0"/>
      <sheetData sheetId="1">
        <row r="69">
          <cell r="D6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abSelected="1" workbookViewId="0">
      <selection activeCell="A2" sqref="A2:E2"/>
    </sheetView>
  </sheetViews>
  <sheetFormatPr defaultColWidth="9.109375" defaultRowHeight="10.199999999999999" x14ac:dyDescent="0.2"/>
  <cols>
    <col min="1" max="1" width="7.6640625" style="65" customWidth="1"/>
    <col min="2" max="2" width="40.5546875" style="65" customWidth="1"/>
    <col min="3" max="3" width="13.109375" style="65" customWidth="1"/>
    <col min="4" max="4" width="13.44140625" style="65" customWidth="1"/>
    <col min="5" max="5" width="12" style="65" customWidth="1"/>
    <col min="6" max="16384" width="9.109375" style="65"/>
  </cols>
  <sheetData>
    <row r="1" spans="1:5" ht="14.25" customHeight="1" x14ac:dyDescent="0.2">
      <c r="C1" s="66"/>
      <c r="D1" s="66"/>
      <c r="E1" s="94" t="s">
        <v>551</v>
      </c>
    </row>
    <row r="2" spans="1:5" ht="15" customHeight="1" x14ac:dyDescent="0.3">
      <c r="A2" s="95" t="s">
        <v>553</v>
      </c>
      <c r="B2" s="95"/>
      <c r="C2" s="95"/>
      <c r="D2" s="95"/>
      <c r="E2" s="95"/>
    </row>
    <row r="3" spans="1:5" ht="15.75" customHeight="1" x14ac:dyDescent="0.2">
      <c r="C3" s="66"/>
      <c r="D3" s="66"/>
    </row>
    <row r="4" spans="1:5" ht="51" customHeight="1" thickBot="1" x14ac:dyDescent="0.25">
      <c r="A4" s="67" t="s">
        <v>309</v>
      </c>
      <c r="B4" s="68" t="s">
        <v>310</v>
      </c>
      <c r="C4" s="69" t="s">
        <v>549</v>
      </c>
      <c r="D4" s="93" t="s">
        <v>550</v>
      </c>
      <c r="E4" s="69" t="s">
        <v>311</v>
      </c>
    </row>
    <row r="5" spans="1:5" ht="15" customHeight="1" thickBot="1" x14ac:dyDescent="0.25">
      <c r="A5" s="70"/>
      <c r="B5" s="70" t="s">
        <v>312</v>
      </c>
      <c r="C5" s="71">
        <f>C6+C9+C10+C14</f>
        <v>9223095</v>
      </c>
      <c r="D5" s="71">
        <f>D6+D9+D10+D14</f>
        <v>3150939.9</v>
      </c>
      <c r="E5" s="71">
        <f t="shared" ref="E5:E36" si="0">SUM(C5:D5)</f>
        <v>12374034.9</v>
      </c>
    </row>
    <row r="6" spans="1:5" ht="15" customHeight="1" x14ac:dyDescent="0.2">
      <c r="A6" s="72" t="s">
        <v>313</v>
      </c>
      <c r="B6" s="72" t="s">
        <v>314</v>
      </c>
      <c r="C6" s="73">
        <f>SUM(C7:C8)</f>
        <v>6531575</v>
      </c>
      <c r="D6" s="73">
        <f>SUM(D7:D8)</f>
        <v>0</v>
      </c>
      <c r="E6" s="73">
        <f t="shared" si="0"/>
        <v>6531575</v>
      </c>
    </row>
    <row r="7" spans="1:5" ht="15" customHeight="1" x14ac:dyDescent="0.2">
      <c r="A7" s="74" t="s">
        <v>315</v>
      </c>
      <c r="B7" s="74" t="s">
        <v>316</v>
      </c>
      <c r="C7" s="75">
        <v>6256975</v>
      </c>
      <c r="D7" s="75">
        <v>0</v>
      </c>
      <c r="E7" s="75">
        <f t="shared" si="0"/>
        <v>6256975</v>
      </c>
    </row>
    <row r="8" spans="1:5" ht="15" customHeight="1" thickBot="1" x14ac:dyDescent="0.25">
      <c r="A8" s="74" t="s">
        <v>317</v>
      </c>
      <c r="B8" s="74" t="s">
        <v>318</v>
      </c>
      <c r="C8" s="76">
        <v>274600</v>
      </c>
      <c r="D8" s="76">
        <v>0</v>
      </c>
      <c r="E8" s="76">
        <f t="shared" si="0"/>
        <v>274600</v>
      </c>
    </row>
    <row r="9" spans="1:5" ht="15" customHeight="1" thickBot="1" x14ac:dyDescent="0.25">
      <c r="A9" s="70" t="s">
        <v>319</v>
      </c>
      <c r="B9" s="70" t="s">
        <v>320</v>
      </c>
      <c r="C9" s="71">
        <v>320439</v>
      </c>
      <c r="D9" s="71">
        <v>3855.4</v>
      </c>
      <c r="E9" s="71">
        <f t="shared" si="0"/>
        <v>324294.40000000002</v>
      </c>
    </row>
    <row r="10" spans="1:5" ht="15" customHeight="1" thickBot="1" x14ac:dyDescent="0.25">
      <c r="A10" s="70"/>
      <c r="B10" s="70" t="s">
        <v>321</v>
      </c>
      <c r="C10" s="77">
        <f>SUM(C11:C13)</f>
        <v>1806081</v>
      </c>
      <c r="D10" s="77">
        <f>SUM(D11:D13)</f>
        <v>3146565.3</v>
      </c>
      <c r="E10" s="77">
        <f t="shared" si="0"/>
        <v>4952646.3</v>
      </c>
    </row>
    <row r="11" spans="1:5" ht="15" customHeight="1" x14ac:dyDescent="0.2">
      <c r="A11" s="74" t="s">
        <v>179</v>
      </c>
      <c r="B11" s="74" t="s">
        <v>180</v>
      </c>
      <c r="C11" s="78">
        <v>1426081</v>
      </c>
      <c r="D11" s="78">
        <v>1625</v>
      </c>
      <c r="E11" s="78">
        <f t="shared" si="0"/>
        <v>1427706</v>
      </c>
    </row>
    <row r="12" spans="1:5" ht="15" customHeight="1" x14ac:dyDescent="0.2">
      <c r="A12" s="74" t="s">
        <v>322</v>
      </c>
      <c r="B12" s="74" t="s">
        <v>323</v>
      </c>
      <c r="C12" s="78">
        <v>380000</v>
      </c>
      <c r="D12" s="78">
        <v>2691644</v>
      </c>
      <c r="E12" s="78">
        <f t="shared" si="0"/>
        <v>3071644</v>
      </c>
    </row>
    <row r="13" spans="1:5" ht="15" customHeight="1" thickBot="1" x14ac:dyDescent="0.25">
      <c r="A13" s="74" t="s">
        <v>324</v>
      </c>
      <c r="B13" s="74" t="s">
        <v>325</v>
      </c>
      <c r="C13" s="78">
        <v>0</v>
      </c>
      <c r="D13" s="78">
        <v>453296.30000000005</v>
      </c>
      <c r="E13" s="78">
        <f t="shared" si="0"/>
        <v>453296.30000000005</v>
      </c>
    </row>
    <row r="14" spans="1:5" ht="15" customHeight="1" thickBot="1" x14ac:dyDescent="0.25">
      <c r="A14" s="70"/>
      <c r="B14" s="70" t="s">
        <v>326</v>
      </c>
      <c r="C14" s="77">
        <f>SUM(C15:C19)</f>
        <v>565000</v>
      </c>
      <c r="D14" s="77">
        <f>SUM(D15:D19)</f>
        <v>519.20000000000005</v>
      </c>
      <c r="E14" s="77">
        <f t="shared" si="0"/>
        <v>565519.19999999995</v>
      </c>
    </row>
    <row r="15" spans="1:5" ht="21.75" customHeight="1" x14ac:dyDescent="0.2">
      <c r="A15" s="74" t="s">
        <v>327</v>
      </c>
      <c r="B15" s="74" t="s">
        <v>328</v>
      </c>
      <c r="C15" s="78">
        <v>450000</v>
      </c>
      <c r="D15" s="78">
        <v>0</v>
      </c>
      <c r="E15" s="78">
        <f t="shared" si="0"/>
        <v>450000</v>
      </c>
    </row>
    <row r="16" spans="1:5" ht="23.25" customHeight="1" x14ac:dyDescent="0.2">
      <c r="A16" s="74" t="s">
        <v>329</v>
      </c>
      <c r="B16" s="74" t="s">
        <v>330</v>
      </c>
      <c r="C16" s="78">
        <v>95000</v>
      </c>
      <c r="D16" s="78">
        <v>0</v>
      </c>
      <c r="E16" s="78">
        <f t="shared" si="0"/>
        <v>95000</v>
      </c>
    </row>
    <row r="17" spans="1:5" ht="13.95" customHeight="1" x14ac:dyDescent="0.2">
      <c r="A17" s="74" t="s">
        <v>331</v>
      </c>
      <c r="B17" s="74" t="s">
        <v>332</v>
      </c>
      <c r="C17" s="78">
        <v>5000</v>
      </c>
      <c r="D17" s="78">
        <v>0</v>
      </c>
      <c r="E17" s="78">
        <f t="shared" si="0"/>
        <v>5000</v>
      </c>
    </row>
    <row r="18" spans="1:5" ht="13.95" customHeight="1" x14ac:dyDescent="0.2">
      <c r="A18" s="74" t="s">
        <v>333</v>
      </c>
      <c r="B18" s="74" t="s">
        <v>334</v>
      </c>
      <c r="C18" s="78">
        <v>10000</v>
      </c>
      <c r="D18" s="78">
        <v>0</v>
      </c>
      <c r="E18" s="78">
        <f t="shared" si="0"/>
        <v>10000</v>
      </c>
    </row>
    <row r="19" spans="1:5" ht="15.75" customHeight="1" thickBot="1" x14ac:dyDescent="0.25">
      <c r="A19" s="74" t="s">
        <v>335</v>
      </c>
      <c r="B19" s="74" t="s">
        <v>326</v>
      </c>
      <c r="C19" s="78">
        <v>5000</v>
      </c>
      <c r="D19" s="78">
        <v>519.20000000000005</v>
      </c>
      <c r="E19" s="78">
        <f t="shared" si="0"/>
        <v>5519.2</v>
      </c>
    </row>
    <row r="20" spans="1:5" ht="15" customHeight="1" thickBot="1" x14ac:dyDescent="0.25">
      <c r="A20" s="70"/>
      <c r="B20" s="70" t="s">
        <v>336</v>
      </c>
      <c r="C20" s="77">
        <f>C21+C25</f>
        <v>8718394</v>
      </c>
      <c r="D20" s="77">
        <f>D21+D25</f>
        <v>3218796.67</v>
      </c>
      <c r="E20" s="77">
        <f t="shared" si="0"/>
        <v>11937190.67</v>
      </c>
    </row>
    <row r="21" spans="1:5" ht="15" customHeight="1" thickBot="1" x14ac:dyDescent="0.25">
      <c r="A21" s="70"/>
      <c r="B21" s="70" t="s">
        <v>337</v>
      </c>
      <c r="C21" s="77">
        <f>SUM(C22:C24)</f>
        <v>432000</v>
      </c>
      <c r="D21" s="77">
        <f>SUM(D22:D24)</f>
        <v>379599.91000000003</v>
      </c>
      <c r="E21" s="77">
        <f t="shared" si="0"/>
        <v>811599.91</v>
      </c>
    </row>
    <row r="22" spans="1:5" ht="15" customHeight="1" x14ac:dyDescent="0.2">
      <c r="A22" s="74" t="s">
        <v>338</v>
      </c>
      <c r="B22" s="74" t="s">
        <v>339</v>
      </c>
      <c r="C22" s="78">
        <v>143541</v>
      </c>
      <c r="D22" s="78">
        <v>367829.91000000003</v>
      </c>
      <c r="E22" s="78">
        <f t="shared" si="0"/>
        <v>511370.91000000003</v>
      </c>
    </row>
    <row r="23" spans="1:5" ht="15" customHeight="1" x14ac:dyDescent="0.2">
      <c r="A23" s="74" t="s">
        <v>340</v>
      </c>
      <c r="B23" s="74" t="s">
        <v>341</v>
      </c>
      <c r="C23" s="78">
        <v>261200</v>
      </c>
      <c r="D23" s="78">
        <v>11770</v>
      </c>
      <c r="E23" s="78">
        <f t="shared" si="0"/>
        <v>272970</v>
      </c>
    </row>
    <row r="24" spans="1:5" ht="15" customHeight="1" thickBot="1" x14ac:dyDescent="0.25">
      <c r="A24" s="74" t="s">
        <v>342</v>
      </c>
      <c r="B24" s="74" t="s">
        <v>343</v>
      </c>
      <c r="C24" s="78">
        <v>27259</v>
      </c>
      <c r="D24" s="78">
        <v>0</v>
      </c>
      <c r="E24" s="78">
        <f t="shared" si="0"/>
        <v>27259</v>
      </c>
    </row>
    <row r="25" spans="1:5" ht="15" customHeight="1" thickBot="1" x14ac:dyDescent="0.25">
      <c r="A25" s="70"/>
      <c r="B25" s="70" t="s">
        <v>344</v>
      </c>
      <c r="C25" s="77">
        <f>SUM(C26:C28)</f>
        <v>8286394</v>
      </c>
      <c r="D25" s="77">
        <f>SUM(D26:D28)</f>
        <v>2839196.76</v>
      </c>
      <c r="E25" s="77">
        <f t="shared" si="0"/>
        <v>11125590.76</v>
      </c>
    </row>
    <row r="26" spans="1:5" ht="15" customHeight="1" x14ac:dyDescent="0.2">
      <c r="A26" s="74" t="s">
        <v>270</v>
      </c>
      <c r="B26" s="74" t="s">
        <v>345</v>
      </c>
      <c r="C26" s="78">
        <v>5247283</v>
      </c>
      <c r="D26" s="78">
        <v>1972854.3599999996</v>
      </c>
      <c r="E26" s="78">
        <f t="shared" si="0"/>
        <v>7220137.3599999994</v>
      </c>
    </row>
    <row r="27" spans="1:5" ht="15" customHeight="1" x14ac:dyDescent="0.2">
      <c r="A27" s="74" t="s">
        <v>268</v>
      </c>
      <c r="B27" s="74" t="s">
        <v>346</v>
      </c>
      <c r="C27" s="78">
        <f>2984511+807.1</f>
        <v>2985318.1</v>
      </c>
      <c r="D27" s="78">
        <v>866342.40000000002</v>
      </c>
      <c r="E27" s="78">
        <f t="shared" si="0"/>
        <v>3851660.5</v>
      </c>
    </row>
    <row r="28" spans="1:5" ht="15" customHeight="1" thickBot="1" x14ac:dyDescent="0.25">
      <c r="A28" s="74" t="s">
        <v>347</v>
      </c>
      <c r="B28" s="74" t="s">
        <v>348</v>
      </c>
      <c r="C28" s="78">
        <f>54600-807.1</f>
        <v>53792.9</v>
      </c>
      <c r="D28" s="78">
        <v>0</v>
      </c>
      <c r="E28" s="78">
        <f t="shared" si="0"/>
        <v>53792.9</v>
      </c>
    </row>
    <row r="29" spans="1:5" ht="15" customHeight="1" thickBot="1" x14ac:dyDescent="0.25">
      <c r="A29" s="70"/>
      <c r="B29" s="70" t="s">
        <v>349</v>
      </c>
      <c r="C29" s="77">
        <f>C5-C20</f>
        <v>504701</v>
      </c>
      <c r="D29" s="77">
        <f>D5-D20</f>
        <v>-67856.770000000019</v>
      </c>
      <c r="E29" s="77">
        <f t="shared" si="0"/>
        <v>436844.23</v>
      </c>
    </row>
    <row r="30" spans="1:5" ht="15" customHeight="1" thickBot="1" x14ac:dyDescent="0.25">
      <c r="A30" s="70"/>
      <c r="B30" s="70" t="s">
        <v>350</v>
      </c>
      <c r="C30" s="77">
        <f>SUM(C31:C36)</f>
        <v>-1014600</v>
      </c>
      <c r="D30" s="77">
        <f>SUM(D31:D36)</f>
        <v>-76096.900000000023</v>
      </c>
      <c r="E30" s="77">
        <f t="shared" si="0"/>
        <v>-1090696.8999999999</v>
      </c>
    </row>
    <row r="31" spans="1:5" ht="15" customHeight="1" x14ac:dyDescent="0.2">
      <c r="A31" s="74" t="s">
        <v>351</v>
      </c>
      <c r="B31" s="74" t="s">
        <v>352</v>
      </c>
      <c r="C31" s="78">
        <v>50000</v>
      </c>
      <c r="D31" s="78">
        <v>0</v>
      </c>
      <c r="E31" s="78">
        <f t="shared" si="0"/>
        <v>50000</v>
      </c>
    </row>
    <row r="32" spans="1:5" ht="15" customHeight="1" x14ac:dyDescent="0.2">
      <c r="A32" s="74" t="s">
        <v>269</v>
      </c>
      <c r="B32" s="74" t="s">
        <v>353</v>
      </c>
      <c r="C32" s="78">
        <v>-832590</v>
      </c>
      <c r="D32" s="78">
        <v>-335021.30000000005</v>
      </c>
      <c r="E32" s="78">
        <f t="shared" si="0"/>
        <v>-1167611.3</v>
      </c>
    </row>
    <row r="33" spans="1:5" ht="15" customHeight="1" x14ac:dyDescent="0.2">
      <c r="A33" s="74" t="s">
        <v>26</v>
      </c>
      <c r="B33" s="74" t="s">
        <v>354</v>
      </c>
      <c r="C33" s="78">
        <v>0</v>
      </c>
      <c r="D33" s="78">
        <v>307365.40000000002</v>
      </c>
      <c r="E33" s="78">
        <f t="shared" si="0"/>
        <v>307365.40000000002</v>
      </c>
    </row>
    <row r="34" spans="1:5" ht="15" customHeight="1" x14ac:dyDescent="0.2">
      <c r="A34" s="74" t="s">
        <v>355</v>
      </c>
      <c r="B34" s="74" t="s">
        <v>356</v>
      </c>
      <c r="C34" s="78">
        <v>-177920</v>
      </c>
      <c r="D34" s="78">
        <v>-48441</v>
      </c>
      <c r="E34" s="78">
        <f t="shared" si="0"/>
        <v>-226361</v>
      </c>
    </row>
    <row r="35" spans="1:5" ht="15" customHeight="1" x14ac:dyDescent="0.2">
      <c r="A35" s="74" t="s">
        <v>357</v>
      </c>
      <c r="B35" s="74" t="s">
        <v>358</v>
      </c>
      <c r="C35" s="78">
        <v>100</v>
      </c>
      <c r="D35" s="78">
        <v>0</v>
      </c>
      <c r="E35" s="78">
        <f t="shared" si="0"/>
        <v>100</v>
      </c>
    </row>
    <row r="36" spans="1:5" ht="15" customHeight="1" thickBot="1" x14ac:dyDescent="0.25">
      <c r="A36" s="74" t="s">
        <v>359</v>
      </c>
      <c r="B36" s="74" t="s">
        <v>360</v>
      </c>
      <c r="C36" s="78">
        <v>-54190</v>
      </c>
      <c r="D36" s="78">
        <v>0</v>
      </c>
      <c r="E36" s="78">
        <f t="shared" si="0"/>
        <v>-54190</v>
      </c>
    </row>
    <row r="37" spans="1:5" ht="15" customHeight="1" thickBot="1" x14ac:dyDescent="0.25">
      <c r="A37" s="70"/>
      <c r="B37" s="70" t="s">
        <v>361</v>
      </c>
      <c r="C37" s="77">
        <f>C29+C30</f>
        <v>-509899</v>
      </c>
      <c r="D37" s="77">
        <f>D29+D30</f>
        <v>-143953.67000000004</v>
      </c>
      <c r="E37" s="77">
        <f t="shared" ref="E37:E68" si="1">SUM(C37:D37)</f>
        <v>-653852.67000000004</v>
      </c>
    </row>
    <row r="38" spans="1:5" ht="15" customHeight="1" thickBot="1" x14ac:dyDescent="0.25">
      <c r="A38" s="70"/>
      <c r="B38" s="70" t="s">
        <v>362</v>
      </c>
      <c r="C38" s="77">
        <f>SUM(C39:C40)</f>
        <v>9899</v>
      </c>
      <c r="D38" s="77">
        <f>SUM(D39:D40)</f>
        <v>-145000</v>
      </c>
      <c r="E38" s="77">
        <f t="shared" si="1"/>
        <v>-135101</v>
      </c>
    </row>
    <row r="39" spans="1:5" ht="15" customHeight="1" x14ac:dyDescent="0.2">
      <c r="A39" s="74" t="s">
        <v>363</v>
      </c>
      <c r="B39" s="74" t="s">
        <v>364</v>
      </c>
      <c r="C39" s="78">
        <v>460000</v>
      </c>
      <c r="D39" s="78">
        <v>-145000</v>
      </c>
      <c r="E39" s="78">
        <f t="shared" si="1"/>
        <v>315000</v>
      </c>
    </row>
    <row r="40" spans="1:5" ht="15" customHeight="1" thickBot="1" x14ac:dyDescent="0.25">
      <c r="A40" s="74" t="s">
        <v>365</v>
      </c>
      <c r="B40" s="74" t="s">
        <v>366</v>
      </c>
      <c r="C40" s="78">
        <v>-450101</v>
      </c>
      <c r="D40" s="78">
        <v>0</v>
      </c>
      <c r="E40" s="78">
        <f t="shared" si="1"/>
        <v>-450101</v>
      </c>
    </row>
    <row r="41" spans="1:5" ht="21" thickBot="1" x14ac:dyDescent="0.25">
      <c r="A41" s="70" t="s">
        <v>367</v>
      </c>
      <c r="B41" s="70" t="s">
        <v>368</v>
      </c>
      <c r="C41" s="77">
        <v>-500000</v>
      </c>
      <c r="D41" s="77">
        <v>-54953.67</v>
      </c>
      <c r="E41" s="77">
        <f t="shared" si="1"/>
        <v>-554953.67000000004</v>
      </c>
    </row>
    <row r="42" spans="1:5" ht="21" thickBot="1" x14ac:dyDescent="0.25">
      <c r="A42" s="70"/>
      <c r="B42" s="70" t="s">
        <v>369</v>
      </c>
      <c r="C42" s="77">
        <v>0</v>
      </c>
      <c r="D42" s="77">
        <v>234000</v>
      </c>
      <c r="E42" s="77">
        <f t="shared" si="1"/>
        <v>234000</v>
      </c>
    </row>
    <row r="43" spans="1:5" ht="21" thickBot="1" x14ac:dyDescent="0.25">
      <c r="A43" s="79"/>
      <c r="B43" s="79" t="s">
        <v>370</v>
      </c>
      <c r="C43" s="80">
        <f>C44+C51+C53+C59+C65+C80+C74+C108+C151</f>
        <v>9783094</v>
      </c>
      <c r="D43" s="80">
        <f>D44+D51+D53+D59+D65+D80+D74+D108+D151</f>
        <v>3602258.9699999997</v>
      </c>
      <c r="E43" s="80">
        <f t="shared" si="1"/>
        <v>13385352.969999999</v>
      </c>
    </row>
    <row r="44" spans="1:5" ht="15" customHeight="1" thickBot="1" x14ac:dyDescent="0.25">
      <c r="A44" s="70" t="s">
        <v>371</v>
      </c>
      <c r="B44" s="70" t="s">
        <v>372</v>
      </c>
      <c r="C44" s="77">
        <f>SUM(C45:C50)</f>
        <v>921031.9</v>
      </c>
      <c r="D44" s="77">
        <f>SUM(D45:D50)</f>
        <v>27195.93</v>
      </c>
      <c r="E44" s="77">
        <f t="shared" si="1"/>
        <v>948227.83000000007</v>
      </c>
    </row>
    <row r="45" spans="1:5" ht="15" customHeight="1" x14ac:dyDescent="0.2">
      <c r="A45" s="74" t="s">
        <v>233</v>
      </c>
      <c r="B45" s="74" t="s">
        <v>234</v>
      </c>
      <c r="C45" s="78">
        <v>72897</v>
      </c>
      <c r="D45" s="78">
        <v>-700</v>
      </c>
      <c r="E45" s="78">
        <f t="shared" si="1"/>
        <v>72197</v>
      </c>
    </row>
    <row r="46" spans="1:5" ht="15" customHeight="1" x14ac:dyDescent="0.2">
      <c r="A46" s="74" t="s">
        <v>54</v>
      </c>
      <c r="B46" s="74" t="s">
        <v>55</v>
      </c>
      <c r="C46" s="78">
        <v>691442</v>
      </c>
      <c r="D46" s="78">
        <v>27895.93</v>
      </c>
      <c r="E46" s="78">
        <f t="shared" si="1"/>
        <v>719337.93</v>
      </c>
    </row>
    <row r="47" spans="1:5" ht="15" customHeight="1" x14ac:dyDescent="0.2">
      <c r="A47" s="74" t="s">
        <v>373</v>
      </c>
      <c r="B47" s="74" t="s">
        <v>374</v>
      </c>
      <c r="C47" s="78">
        <f>50000-807.1</f>
        <v>49192.9</v>
      </c>
      <c r="D47" s="78">
        <v>0</v>
      </c>
      <c r="E47" s="78">
        <f t="shared" si="1"/>
        <v>49192.9</v>
      </c>
    </row>
    <row r="48" spans="1:5" ht="15" customHeight="1" x14ac:dyDescent="0.2">
      <c r="A48" s="74" t="s">
        <v>375</v>
      </c>
      <c r="B48" s="74" t="s">
        <v>376</v>
      </c>
      <c r="C48" s="78">
        <v>20000</v>
      </c>
      <c r="D48" s="78">
        <v>0</v>
      </c>
      <c r="E48" s="78">
        <f t="shared" si="1"/>
        <v>20000</v>
      </c>
    </row>
    <row r="49" spans="1:5" ht="15" customHeight="1" x14ac:dyDescent="0.2">
      <c r="A49" s="74" t="s">
        <v>377</v>
      </c>
      <c r="B49" s="74" t="s">
        <v>378</v>
      </c>
      <c r="C49" s="78">
        <v>33310</v>
      </c>
      <c r="D49" s="78">
        <v>0</v>
      </c>
      <c r="E49" s="78">
        <f t="shared" si="1"/>
        <v>33310</v>
      </c>
    </row>
    <row r="50" spans="1:5" ht="15" customHeight="1" thickBot="1" x14ac:dyDescent="0.25">
      <c r="A50" s="74" t="s">
        <v>379</v>
      </c>
      <c r="B50" s="74" t="s">
        <v>380</v>
      </c>
      <c r="C50" s="78">
        <v>54190</v>
      </c>
      <c r="D50" s="78">
        <v>0</v>
      </c>
      <c r="E50" s="78">
        <f t="shared" si="1"/>
        <v>54190</v>
      </c>
    </row>
    <row r="51" spans="1:5" ht="15" customHeight="1" thickBot="1" x14ac:dyDescent="0.25">
      <c r="A51" s="70" t="s">
        <v>381</v>
      </c>
      <c r="B51" s="70" t="s">
        <v>382</v>
      </c>
      <c r="C51" s="77">
        <f>SUM(C52:C52)</f>
        <v>5000</v>
      </c>
      <c r="D51" s="77">
        <f>SUM(D52:D52)</f>
        <v>0</v>
      </c>
      <c r="E51" s="77">
        <f t="shared" si="1"/>
        <v>5000</v>
      </c>
    </row>
    <row r="52" spans="1:5" ht="15" customHeight="1" thickBot="1" x14ac:dyDescent="0.25">
      <c r="A52" s="74" t="s">
        <v>383</v>
      </c>
      <c r="B52" s="74" t="s">
        <v>384</v>
      </c>
      <c r="C52" s="78">
        <v>5000</v>
      </c>
      <c r="D52" s="78">
        <f>[1]Kulud!D69</f>
        <v>0</v>
      </c>
      <c r="E52" s="78">
        <f t="shared" si="1"/>
        <v>5000</v>
      </c>
    </row>
    <row r="53" spans="1:5" ht="15" customHeight="1" thickBot="1" x14ac:dyDescent="0.25">
      <c r="A53" s="70" t="s">
        <v>385</v>
      </c>
      <c r="B53" s="70" t="s">
        <v>386</v>
      </c>
      <c r="C53" s="77">
        <f>SUM(C54:C58)</f>
        <v>793898</v>
      </c>
      <c r="D53" s="77">
        <f>SUM(D54:D58)</f>
        <v>142658.16</v>
      </c>
      <c r="E53" s="77">
        <f t="shared" si="1"/>
        <v>936556.16</v>
      </c>
    </row>
    <row r="54" spans="1:5" ht="15" customHeight="1" x14ac:dyDescent="0.2">
      <c r="A54" s="74" t="s">
        <v>58</v>
      </c>
      <c r="B54" s="74" t="s">
        <v>387</v>
      </c>
      <c r="C54" s="78">
        <v>315680</v>
      </c>
      <c r="D54" s="78">
        <v>126278.16</v>
      </c>
      <c r="E54" s="78">
        <f t="shared" si="1"/>
        <v>441958.16000000003</v>
      </c>
    </row>
    <row r="55" spans="1:5" ht="15" customHeight="1" x14ac:dyDescent="0.2">
      <c r="A55" s="74" t="s">
        <v>388</v>
      </c>
      <c r="B55" s="74" t="s">
        <v>389</v>
      </c>
      <c r="C55" s="78">
        <v>44000</v>
      </c>
      <c r="D55" s="78">
        <v>0</v>
      </c>
      <c r="E55" s="78">
        <f t="shared" si="1"/>
        <v>44000</v>
      </c>
    </row>
    <row r="56" spans="1:5" ht="15" customHeight="1" x14ac:dyDescent="0.2">
      <c r="A56" s="74" t="s">
        <v>186</v>
      </c>
      <c r="B56" s="74" t="s">
        <v>187</v>
      </c>
      <c r="C56" s="78">
        <v>140420</v>
      </c>
      <c r="D56" s="78">
        <v>5000</v>
      </c>
      <c r="E56" s="78">
        <f t="shared" si="1"/>
        <v>145420</v>
      </c>
    </row>
    <row r="57" spans="1:5" ht="15" customHeight="1" x14ac:dyDescent="0.2">
      <c r="A57" s="74" t="s">
        <v>189</v>
      </c>
      <c r="B57" s="74" t="s">
        <v>190</v>
      </c>
      <c r="C57" s="78">
        <v>44720</v>
      </c>
      <c r="D57" s="78">
        <v>10680</v>
      </c>
      <c r="E57" s="78">
        <f t="shared" si="1"/>
        <v>55400</v>
      </c>
    </row>
    <row r="58" spans="1:5" ht="15" customHeight="1" thickBot="1" x14ac:dyDescent="0.25">
      <c r="A58" s="74" t="s">
        <v>236</v>
      </c>
      <c r="B58" s="74" t="s">
        <v>390</v>
      </c>
      <c r="C58" s="78">
        <v>249078</v>
      </c>
      <c r="D58" s="78">
        <v>700</v>
      </c>
      <c r="E58" s="78">
        <f t="shared" si="1"/>
        <v>249778</v>
      </c>
    </row>
    <row r="59" spans="1:5" ht="15" customHeight="1" thickBot="1" x14ac:dyDescent="0.25">
      <c r="A59" s="70" t="s">
        <v>391</v>
      </c>
      <c r="B59" s="70" t="s">
        <v>392</v>
      </c>
      <c r="C59" s="77">
        <f>SUM(C60,C63,C64)</f>
        <v>405000</v>
      </c>
      <c r="D59" s="77">
        <f>SUM(D60,D63,D64)</f>
        <v>109534.8</v>
      </c>
      <c r="E59" s="77">
        <f t="shared" si="1"/>
        <v>514534.8</v>
      </c>
    </row>
    <row r="60" spans="1:5" ht="15" customHeight="1" x14ac:dyDescent="0.2">
      <c r="A60" s="74" t="s">
        <v>393</v>
      </c>
      <c r="B60" s="74" t="s">
        <v>394</v>
      </c>
      <c r="C60" s="78">
        <f>SUM(C61:C62)</f>
        <v>55000</v>
      </c>
      <c r="D60" s="78">
        <f>SUM(D61:D62)</f>
        <v>125922</v>
      </c>
      <c r="E60" s="78">
        <f t="shared" si="1"/>
        <v>180922</v>
      </c>
    </row>
    <row r="61" spans="1:5" s="83" customFormat="1" ht="15" customHeight="1" x14ac:dyDescent="0.2">
      <c r="A61" s="81" t="s">
        <v>395</v>
      </c>
      <c r="B61" s="81" t="s">
        <v>396</v>
      </c>
      <c r="C61" s="82">
        <v>30000</v>
      </c>
      <c r="D61" s="82">
        <v>0</v>
      </c>
      <c r="E61" s="82">
        <f t="shared" si="1"/>
        <v>30000</v>
      </c>
    </row>
    <row r="62" spans="1:5" s="83" customFormat="1" ht="15" customHeight="1" x14ac:dyDescent="0.2">
      <c r="A62" s="81" t="s">
        <v>397</v>
      </c>
      <c r="B62" s="81" t="s">
        <v>398</v>
      </c>
      <c r="C62" s="82">
        <v>25000</v>
      </c>
      <c r="D62" s="82">
        <v>125922</v>
      </c>
      <c r="E62" s="82">
        <f t="shared" si="1"/>
        <v>150922</v>
      </c>
    </row>
    <row r="63" spans="1:5" ht="15" customHeight="1" x14ac:dyDescent="0.2">
      <c r="A63" s="74" t="s">
        <v>239</v>
      </c>
      <c r="B63" s="74" t="s">
        <v>240</v>
      </c>
      <c r="C63" s="78">
        <v>350000</v>
      </c>
      <c r="D63" s="78">
        <v>-18000</v>
      </c>
      <c r="E63" s="78">
        <f t="shared" si="1"/>
        <v>332000</v>
      </c>
    </row>
    <row r="64" spans="1:5" ht="15" customHeight="1" thickBot="1" x14ac:dyDescent="0.25">
      <c r="A64" s="74" t="s">
        <v>193</v>
      </c>
      <c r="B64" s="74" t="s">
        <v>399</v>
      </c>
      <c r="C64" s="78">
        <v>0</v>
      </c>
      <c r="D64" s="78">
        <v>1612.8000000000002</v>
      </c>
      <c r="E64" s="78">
        <f t="shared" si="1"/>
        <v>1612.8000000000002</v>
      </c>
    </row>
    <row r="65" spans="1:5" ht="15" customHeight="1" thickBot="1" x14ac:dyDescent="0.25">
      <c r="A65" s="70" t="s">
        <v>400</v>
      </c>
      <c r="B65" s="70" t="s">
        <v>401</v>
      </c>
      <c r="C65" s="77">
        <f>SUM(C66:C69)</f>
        <v>1189228</v>
      </c>
      <c r="D65" s="77">
        <f>SUM(D66:D69)</f>
        <v>203108</v>
      </c>
      <c r="E65" s="77">
        <f t="shared" si="1"/>
        <v>1392336</v>
      </c>
    </row>
    <row r="66" spans="1:5" ht="15" customHeight="1" x14ac:dyDescent="0.2">
      <c r="A66" s="74" t="s">
        <v>66</v>
      </c>
      <c r="B66" s="74" t="s">
        <v>67</v>
      </c>
      <c r="C66" s="78">
        <v>168950</v>
      </c>
      <c r="D66" s="78">
        <v>140800</v>
      </c>
      <c r="E66" s="78">
        <f t="shared" si="1"/>
        <v>309750</v>
      </c>
    </row>
    <row r="67" spans="1:5" ht="15" customHeight="1" x14ac:dyDescent="0.2">
      <c r="A67" s="74" t="s">
        <v>68</v>
      </c>
      <c r="B67" s="74" t="s">
        <v>69</v>
      </c>
      <c r="C67" s="78">
        <v>116000</v>
      </c>
      <c r="D67" s="78">
        <v>34441</v>
      </c>
      <c r="E67" s="78">
        <f t="shared" si="1"/>
        <v>150441</v>
      </c>
    </row>
    <row r="68" spans="1:5" ht="15" customHeight="1" x14ac:dyDescent="0.2">
      <c r="A68" s="74" t="s">
        <v>402</v>
      </c>
      <c r="B68" s="74" t="s">
        <v>403</v>
      </c>
      <c r="C68" s="78">
        <v>250000</v>
      </c>
      <c r="D68" s="78">
        <v>0</v>
      </c>
      <c r="E68" s="78">
        <f t="shared" si="1"/>
        <v>250000</v>
      </c>
    </row>
    <row r="69" spans="1:5" ht="15" customHeight="1" x14ac:dyDescent="0.2">
      <c r="A69" s="74" t="s">
        <v>404</v>
      </c>
      <c r="B69" s="74" t="s">
        <v>405</v>
      </c>
      <c r="C69" s="78">
        <f>SUM(C70:C73)</f>
        <v>654278</v>
      </c>
      <c r="D69" s="78">
        <f>SUM(D70:D73)</f>
        <v>27867</v>
      </c>
      <c r="E69" s="78">
        <f t="shared" ref="E69:E100" si="2">SUM(C69:D69)</f>
        <v>682145</v>
      </c>
    </row>
    <row r="70" spans="1:5" s="83" customFormat="1" ht="15" customHeight="1" x14ac:dyDescent="0.2">
      <c r="A70" s="81" t="s">
        <v>406</v>
      </c>
      <c r="B70" s="81" t="s">
        <v>405</v>
      </c>
      <c r="C70" s="82">
        <v>11100</v>
      </c>
      <c r="D70" s="82">
        <v>0</v>
      </c>
      <c r="E70" s="82">
        <f t="shared" si="2"/>
        <v>11100</v>
      </c>
    </row>
    <row r="71" spans="1:5" s="83" customFormat="1" ht="15" customHeight="1" x14ac:dyDescent="0.2">
      <c r="A71" s="81" t="s">
        <v>407</v>
      </c>
      <c r="B71" s="81" t="s">
        <v>197</v>
      </c>
      <c r="C71" s="82">
        <v>0</v>
      </c>
      <c r="D71" s="82">
        <v>10667</v>
      </c>
      <c r="E71" s="82">
        <f t="shared" si="2"/>
        <v>10667</v>
      </c>
    </row>
    <row r="72" spans="1:5" s="83" customFormat="1" ht="15" customHeight="1" x14ac:dyDescent="0.2">
      <c r="A72" s="81" t="s">
        <v>408</v>
      </c>
      <c r="B72" s="81" t="s">
        <v>409</v>
      </c>
      <c r="C72" s="82">
        <v>35000</v>
      </c>
      <c r="D72" s="82">
        <v>0</v>
      </c>
      <c r="E72" s="82">
        <f t="shared" si="2"/>
        <v>35000</v>
      </c>
    </row>
    <row r="73" spans="1:5" s="83" customFormat="1" ht="15" customHeight="1" thickBot="1" x14ac:dyDescent="0.25">
      <c r="A73" s="81" t="s">
        <v>410</v>
      </c>
      <c r="B73" s="81" t="s">
        <v>242</v>
      </c>
      <c r="C73" s="82">
        <v>608178</v>
      </c>
      <c r="D73" s="82">
        <v>17200</v>
      </c>
      <c r="E73" s="82">
        <f t="shared" si="2"/>
        <v>625378</v>
      </c>
    </row>
    <row r="74" spans="1:5" ht="15" customHeight="1" thickBot="1" x14ac:dyDescent="0.25">
      <c r="A74" s="70" t="s">
        <v>411</v>
      </c>
      <c r="B74" s="70" t="s">
        <v>412</v>
      </c>
      <c r="C74" s="77">
        <f>SUM(C75,C79)</f>
        <v>62175</v>
      </c>
      <c r="D74" s="77">
        <f>SUM(D75,D79)</f>
        <v>-17835.8</v>
      </c>
      <c r="E74" s="77">
        <f t="shared" si="2"/>
        <v>44339.199999999997</v>
      </c>
    </row>
    <row r="75" spans="1:5" ht="15" customHeight="1" x14ac:dyDescent="0.2">
      <c r="A75" s="84" t="s">
        <v>413</v>
      </c>
      <c r="B75" s="84" t="s">
        <v>414</v>
      </c>
      <c r="C75" s="85">
        <f>SUM(C76:C78)</f>
        <v>4675</v>
      </c>
      <c r="D75" s="85">
        <f>SUM(D76:D78)</f>
        <v>-2855</v>
      </c>
      <c r="E75" s="85">
        <f t="shared" si="2"/>
        <v>1820</v>
      </c>
    </row>
    <row r="76" spans="1:5" s="83" customFormat="1" ht="15" customHeight="1" x14ac:dyDescent="0.2">
      <c r="A76" s="81" t="s">
        <v>415</v>
      </c>
      <c r="B76" s="81" t="s">
        <v>245</v>
      </c>
      <c r="C76" s="82">
        <v>2100</v>
      </c>
      <c r="D76" s="82">
        <v>-2080</v>
      </c>
      <c r="E76" s="82">
        <f t="shared" si="2"/>
        <v>20</v>
      </c>
    </row>
    <row r="77" spans="1:5" s="83" customFormat="1" ht="15" customHeight="1" x14ac:dyDescent="0.2">
      <c r="A77" s="81" t="s">
        <v>416</v>
      </c>
      <c r="B77" s="81" t="s">
        <v>417</v>
      </c>
      <c r="C77" s="82">
        <v>1800</v>
      </c>
      <c r="D77" s="82">
        <v>0</v>
      </c>
      <c r="E77" s="82">
        <f t="shared" si="2"/>
        <v>1800</v>
      </c>
    </row>
    <row r="78" spans="1:5" s="83" customFormat="1" ht="15" customHeight="1" x14ac:dyDescent="0.2">
      <c r="A78" s="81" t="s">
        <v>418</v>
      </c>
      <c r="B78" s="81" t="s">
        <v>248</v>
      </c>
      <c r="C78" s="82">
        <v>775</v>
      </c>
      <c r="D78" s="82">
        <v>-775</v>
      </c>
      <c r="E78" s="82">
        <f t="shared" si="2"/>
        <v>0</v>
      </c>
    </row>
    <row r="79" spans="1:5" ht="15" customHeight="1" thickBot="1" x14ac:dyDescent="0.25">
      <c r="A79" s="86" t="s">
        <v>72</v>
      </c>
      <c r="B79" s="86" t="s">
        <v>419</v>
      </c>
      <c r="C79" s="87">
        <v>57500</v>
      </c>
      <c r="D79" s="87">
        <v>-14980.8</v>
      </c>
      <c r="E79" s="87">
        <f t="shared" si="2"/>
        <v>42519.199999999997</v>
      </c>
    </row>
    <row r="80" spans="1:5" ht="15" customHeight="1" thickBot="1" x14ac:dyDescent="0.25">
      <c r="A80" s="70" t="s">
        <v>420</v>
      </c>
      <c r="B80" s="70" t="s">
        <v>421</v>
      </c>
      <c r="C80" s="77">
        <f>SUM(C81,C82,C83,C93,C94,C98,C104,C105)</f>
        <v>1430181.1</v>
      </c>
      <c r="D80" s="77">
        <f>SUM(D81,D82,D83,D93,D94,D98,D104,D105)</f>
        <v>87000.75</v>
      </c>
      <c r="E80" s="77">
        <f t="shared" si="2"/>
        <v>1517181.85</v>
      </c>
    </row>
    <row r="81" spans="1:5" ht="15" customHeight="1" x14ac:dyDescent="0.2">
      <c r="A81" s="74" t="s">
        <v>250</v>
      </c>
      <c r="B81" s="74" t="s">
        <v>422</v>
      </c>
      <c r="C81" s="78">
        <v>257777</v>
      </c>
      <c r="D81" s="78">
        <v>-8800</v>
      </c>
      <c r="E81" s="78">
        <f t="shared" si="2"/>
        <v>248977</v>
      </c>
    </row>
    <row r="82" spans="1:5" ht="15" customHeight="1" x14ac:dyDescent="0.2">
      <c r="A82" s="74" t="s">
        <v>199</v>
      </c>
      <c r="B82" s="74" t="s">
        <v>423</v>
      </c>
      <c r="C82" s="78">
        <v>103000</v>
      </c>
      <c r="D82" s="78">
        <v>25000</v>
      </c>
      <c r="E82" s="78">
        <f t="shared" si="2"/>
        <v>128000</v>
      </c>
    </row>
    <row r="83" spans="1:5" ht="15" customHeight="1" x14ac:dyDescent="0.2">
      <c r="A83" s="74" t="s">
        <v>424</v>
      </c>
      <c r="B83" s="74" t="s">
        <v>425</v>
      </c>
      <c r="C83" s="88">
        <f>SUM(C84:C92)</f>
        <v>266921.09999999998</v>
      </c>
      <c r="D83" s="88">
        <f>SUM(D84:D92)</f>
        <v>-66803</v>
      </c>
      <c r="E83" s="88">
        <f t="shared" si="2"/>
        <v>200118.09999999998</v>
      </c>
    </row>
    <row r="84" spans="1:5" s="83" customFormat="1" ht="15" customHeight="1" x14ac:dyDescent="0.2">
      <c r="A84" s="81" t="s">
        <v>426</v>
      </c>
      <c r="B84" s="81" t="s">
        <v>427</v>
      </c>
      <c r="C84" s="82">
        <v>0</v>
      </c>
      <c r="D84" s="82">
        <v>0</v>
      </c>
      <c r="E84" s="82">
        <f t="shared" si="2"/>
        <v>0</v>
      </c>
    </row>
    <row r="85" spans="1:5" s="83" customFormat="1" ht="15" customHeight="1" x14ac:dyDescent="0.2">
      <c r="A85" s="81" t="s">
        <v>428</v>
      </c>
      <c r="B85" s="81" t="s">
        <v>429</v>
      </c>
      <c r="C85" s="82">
        <v>45995</v>
      </c>
      <c r="D85" s="82">
        <v>-1825</v>
      </c>
      <c r="E85" s="82">
        <f t="shared" si="2"/>
        <v>44170</v>
      </c>
    </row>
    <row r="86" spans="1:5" s="83" customFormat="1" ht="15" customHeight="1" x14ac:dyDescent="0.2">
      <c r="A86" s="81" t="s">
        <v>430</v>
      </c>
      <c r="B86" s="81" t="s">
        <v>431</v>
      </c>
      <c r="C86" s="82">
        <f>29711+807.1</f>
        <v>30518.1</v>
      </c>
      <c r="D86" s="82">
        <v>-400</v>
      </c>
      <c r="E86" s="82">
        <f t="shared" si="2"/>
        <v>30118.1</v>
      </c>
    </row>
    <row r="87" spans="1:5" s="83" customFormat="1" ht="15" customHeight="1" x14ac:dyDescent="0.2">
      <c r="A87" s="81" t="s">
        <v>432</v>
      </c>
      <c r="B87" s="81" t="s">
        <v>433</v>
      </c>
      <c r="C87" s="82">
        <v>64999</v>
      </c>
      <c r="D87" s="82">
        <v>-2850</v>
      </c>
      <c r="E87" s="82">
        <f t="shared" si="2"/>
        <v>62149</v>
      </c>
    </row>
    <row r="88" spans="1:5" s="83" customFormat="1" ht="15" customHeight="1" x14ac:dyDescent="0.2">
      <c r="A88" s="81" t="s">
        <v>434</v>
      </c>
      <c r="B88" s="81" t="s">
        <v>76</v>
      </c>
      <c r="C88" s="82">
        <v>0</v>
      </c>
      <c r="D88" s="82">
        <v>1000</v>
      </c>
      <c r="E88" s="82">
        <f t="shared" si="2"/>
        <v>1000</v>
      </c>
    </row>
    <row r="89" spans="1:5" s="83" customFormat="1" ht="15" customHeight="1" x14ac:dyDescent="0.2">
      <c r="A89" s="81" t="s">
        <v>435</v>
      </c>
      <c r="B89" s="81" t="s">
        <v>79</v>
      </c>
      <c r="C89" s="82">
        <v>0</v>
      </c>
      <c r="D89" s="82">
        <v>3500</v>
      </c>
      <c r="E89" s="82">
        <f t="shared" si="2"/>
        <v>3500</v>
      </c>
    </row>
    <row r="90" spans="1:5" s="83" customFormat="1" ht="15" customHeight="1" x14ac:dyDescent="0.2">
      <c r="A90" s="81" t="s">
        <v>436</v>
      </c>
      <c r="B90" s="81" t="s">
        <v>81</v>
      </c>
      <c r="C90" s="82">
        <v>0</v>
      </c>
      <c r="D90" s="82">
        <v>1000</v>
      </c>
      <c r="E90" s="82">
        <f t="shared" si="2"/>
        <v>1000</v>
      </c>
    </row>
    <row r="91" spans="1:5" s="83" customFormat="1" ht="15" customHeight="1" x14ac:dyDescent="0.2">
      <c r="A91" s="81" t="s">
        <v>437</v>
      </c>
      <c r="B91" s="81" t="s">
        <v>83</v>
      </c>
      <c r="C91" s="82">
        <v>125409</v>
      </c>
      <c r="D91" s="82">
        <v>-70728</v>
      </c>
      <c r="E91" s="82">
        <f t="shared" si="2"/>
        <v>54681</v>
      </c>
    </row>
    <row r="92" spans="1:5" s="83" customFormat="1" ht="15" customHeight="1" x14ac:dyDescent="0.2">
      <c r="A92" s="81" t="s">
        <v>438</v>
      </c>
      <c r="B92" s="81" t="s">
        <v>85</v>
      </c>
      <c r="C92" s="82">
        <v>0</v>
      </c>
      <c r="D92" s="82">
        <v>3500</v>
      </c>
      <c r="E92" s="82">
        <f t="shared" si="2"/>
        <v>3500</v>
      </c>
    </row>
    <row r="93" spans="1:5" ht="15" customHeight="1" x14ac:dyDescent="0.2">
      <c r="A93" s="74" t="s">
        <v>439</v>
      </c>
      <c r="B93" s="74" t="s">
        <v>440</v>
      </c>
      <c r="C93" s="78">
        <v>89000</v>
      </c>
      <c r="D93" s="78">
        <v>0</v>
      </c>
      <c r="E93" s="78">
        <f t="shared" si="2"/>
        <v>89000</v>
      </c>
    </row>
    <row r="94" spans="1:5" ht="15" customHeight="1" x14ac:dyDescent="0.2">
      <c r="A94" s="74" t="s">
        <v>441</v>
      </c>
      <c r="B94" s="74" t="s">
        <v>442</v>
      </c>
      <c r="C94" s="78">
        <f>SUM(C95:C97)</f>
        <v>225499</v>
      </c>
      <c r="D94" s="78">
        <f>SUM(D95:D97)</f>
        <v>8055</v>
      </c>
      <c r="E94" s="78">
        <f t="shared" si="2"/>
        <v>233554</v>
      </c>
    </row>
    <row r="95" spans="1:5" s="83" customFormat="1" ht="15" customHeight="1" x14ac:dyDescent="0.2">
      <c r="A95" s="81" t="s">
        <v>443</v>
      </c>
      <c r="B95" s="81" t="s">
        <v>87</v>
      </c>
      <c r="C95" s="82">
        <v>86262</v>
      </c>
      <c r="D95" s="82">
        <v>3280</v>
      </c>
      <c r="E95" s="82">
        <f t="shared" si="2"/>
        <v>89542</v>
      </c>
    </row>
    <row r="96" spans="1:5" s="83" customFormat="1" ht="15" customHeight="1" x14ac:dyDescent="0.2">
      <c r="A96" s="81" t="s">
        <v>444</v>
      </c>
      <c r="B96" s="81" t="s">
        <v>203</v>
      </c>
      <c r="C96" s="82">
        <v>117381</v>
      </c>
      <c r="D96" s="82">
        <v>3925</v>
      </c>
      <c r="E96" s="82">
        <f t="shared" si="2"/>
        <v>121306</v>
      </c>
    </row>
    <row r="97" spans="1:5" s="83" customFormat="1" ht="15" customHeight="1" x14ac:dyDescent="0.2">
      <c r="A97" s="81" t="s">
        <v>445</v>
      </c>
      <c r="B97" s="81" t="s">
        <v>90</v>
      </c>
      <c r="C97" s="82">
        <v>21856</v>
      </c>
      <c r="D97" s="82">
        <v>850</v>
      </c>
      <c r="E97" s="82">
        <f t="shared" si="2"/>
        <v>22706</v>
      </c>
    </row>
    <row r="98" spans="1:5" ht="15" customHeight="1" x14ac:dyDescent="0.2">
      <c r="A98" s="74" t="s">
        <v>446</v>
      </c>
      <c r="B98" s="74" t="s">
        <v>447</v>
      </c>
      <c r="C98" s="78">
        <f>SUM(C99:C103)</f>
        <v>452684</v>
      </c>
      <c r="D98" s="78">
        <f>SUM(D99:D103)</f>
        <v>18571.28</v>
      </c>
      <c r="E98" s="78">
        <f t="shared" si="2"/>
        <v>471255.28</v>
      </c>
    </row>
    <row r="99" spans="1:5" s="83" customFormat="1" ht="15" customHeight="1" x14ac:dyDescent="0.2">
      <c r="A99" s="81" t="s">
        <v>448</v>
      </c>
      <c r="B99" s="81" t="s">
        <v>206</v>
      </c>
      <c r="C99" s="82">
        <v>230258</v>
      </c>
      <c r="D99" s="82">
        <v>17736.96</v>
      </c>
      <c r="E99" s="82">
        <f t="shared" si="2"/>
        <v>247994.96</v>
      </c>
    </row>
    <row r="100" spans="1:5" s="83" customFormat="1" ht="15" customHeight="1" x14ac:dyDescent="0.2">
      <c r="A100" s="81" t="s">
        <v>449</v>
      </c>
      <c r="B100" s="81" t="s">
        <v>92</v>
      </c>
      <c r="C100" s="82">
        <v>0</v>
      </c>
      <c r="D100" s="82">
        <v>1000</v>
      </c>
      <c r="E100" s="82">
        <f t="shared" si="2"/>
        <v>1000</v>
      </c>
    </row>
    <row r="101" spans="1:5" s="83" customFormat="1" ht="15" customHeight="1" x14ac:dyDescent="0.2">
      <c r="A101" s="81" t="s">
        <v>450</v>
      </c>
      <c r="B101" s="81" t="s">
        <v>209</v>
      </c>
      <c r="C101" s="82">
        <v>153153</v>
      </c>
      <c r="D101" s="82">
        <v>-197.83999999999992</v>
      </c>
      <c r="E101" s="82">
        <f t="shared" ref="E101:E132" si="3">SUM(C101:D101)</f>
        <v>152955.16</v>
      </c>
    </row>
    <row r="102" spans="1:5" s="83" customFormat="1" ht="15" customHeight="1" x14ac:dyDescent="0.2">
      <c r="A102" s="81" t="s">
        <v>451</v>
      </c>
      <c r="B102" s="81" t="s">
        <v>211</v>
      </c>
      <c r="C102" s="82">
        <v>69273</v>
      </c>
      <c r="D102" s="82">
        <v>-1967.84</v>
      </c>
      <c r="E102" s="82">
        <f t="shared" si="3"/>
        <v>67305.16</v>
      </c>
    </row>
    <row r="103" spans="1:5" s="83" customFormat="1" ht="15" customHeight="1" x14ac:dyDescent="0.2">
      <c r="A103" s="81" t="s">
        <v>452</v>
      </c>
      <c r="B103" s="81" t="s">
        <v>96</v>
      </c>
      <c r="C103" s="82">
        <v>0</v>
      </c>
      <c r="D103" s="82">
        <v>2000</v>
      </c>
      <c r="E103" s="82">
        <f t="shared" si="3"/>
        <v>2000</v>
      </c>
    </row>
    <row r="104" spans="1:5" ht="15" customHeight="1" x14ac:dyDescent="0.2">
      <c r="A104" s="74" t="s">
        <v>453</v>
      </c>
      <c r="B104" s="74" t="s">
        <v>454</v>
      </c>
      <c r="C104" s="78">
        <v>10300</v>
      </c>
      <c r="D104" s="78">
        <v>0</v>
      </c>
      <c r="E104" s="78">
        <f t="shared" si="3"/>
        <v>10300</v>
      </c>
    </row>
    <row r="105" spans="1:5" ht="15" customHeight="1" x14ac:dyDescent="0.2">
      <c r="A105" s="74" t="s">
        <v>455</v>
      </c>
      <c r="B105" s="74" t="s">
        <v>456</v>
      </c>
      <c r="C105" s="78">
        <f>SUM(C106:C107)</f>
        <v>25000</v>
      </c>
      <c r="D105" s="78">
        <f>SUM(D106:D107)</f>
        <v>110977.47</v>
      </c>
      <c r="E105" s="78">
        <f t="shared" si="3"/>
        <v>135977.47</v>
      </c>
    </row>
    <row r="106" spans="1:5" s="83" customFormat="1" ht="15" customHeight="1" x14ac:dyDescent="0.2">
      <c r="A106" s="81" t="s">
        <v>457</v>
      </c>
      <c r="B106" s="81" t="s">
        <v>458</v>
      </c>
      <c r="C106" s="82">
        <v>0</v>
      </c>
      <c r="D106" s="82">
        <v>78644.53</v>
      </c>
      <c r="E106" s="82">
        <f t="shared" si="3"/>
        <v>78644.53</v>
      </c>
    </row>
    <row r="107" spans="1:5" s="83" customFormat="1" ht="15" customHeight="1" thickBot="1" x14ac:dyDescent="0.25">
      <c r="A107" s="81" t="s">
        <v>459</v>
      </c>
      <c r="B107" s="81" t="s">
        <v>460</v>
      </c>
      <c r="C107" s="82">
        <v>25000</v>
      </c>
      <c r="D107" s="82">
        <v>32332.94</v>
      </c>
      <c r="E107" s="82">
        <f t="shared" si="3"/>
        <v>57332.94</v>
      </c>
    </row>
    <row r="108" spans="1:5" ht="15" customHeight="1" thickBot="1" x14ac:dyDescent="0.25">
      <c r="A108" s="70" t="s">
        <v>461</v>
      </c>
      <c r="B108" s="70" t="s">
        <v>462</v>
      </c>
      <c r="C108" s="77">
        <f>SUM(C109,C119,C131,C133,C138,C139,C150)</f>
        <v>3975933</v>
      </c>
      <c r="D108" s="77">
        <f>SUM(D109,D119,D131,D133,D138,D139,D150)</f>
        <v>2274922.92</v>
      </c>
      <c r="E108" s="77">
        <f t="shared" si="3"/>
        <v>6250855.9199999999</v>
      </c>
    </row>
    <row r="109" spans="1:5" ht="15" customHeight="1" x14ac:dyDescent="0.2">
      <c r="A109" s="74" t="s">
        <v>463</v>
      </c>
      <c r="B109" s="74" t="s">
        <v>464</v>
      </c>
      <c r="C109" s="78">
        <f>SUM(C110:C118)</f>
        <v>1635744</v>
      </c>
      <c r="D109" s="78">
        <f>SUM(D110:D118)</f>
        <v>79191.19</v>
      </c>
      <c r="E109" s="78">
        <f t="shared" si="3"/>
        <v>1714935.19</v>
      </c>
    </row>
    <row r="110" spans="1:5" s="83" customFormat="1" ht="15" customHeight="1" x14ac:dyDescent="0.2">
      <c r="A110" s="81" t="s">
        <v>465</v>
      </c>
      <c r="B110" s="81" t="s">
        <v>262</v>
      </c>
      <c r="C110" s="82">
        <v>369440</v>
      </c>
      <c r="D110" s="82">
        <v>-18485.82</v>
      </c>
      <c r="E110" s="82">
        <f t="shared" si="3"/>
        <v>350954.18</v>
      </c>
    </row>
    <row r="111" spans="1:5" s="83" customFormat="1" ht="15" customHeight="1" x14ac:dyDescent="0.2">
      <c r="A111" s="81" t="s">
        <v>466</v>
      </c>
      <c r="B111" s="81" t="s">
        <v>101</v>
      </c>
      <c r="C111" s="82">
        <v>0</v>
      </c>
      <c r="D111" s="82">
        <v>22157.82</v>
      </c>
      <c r="E111" s="82">
        <f t="shared" si="3"/>
        <v>22157.82</v>
      </c>
    </row>
    <row r="112" spans="1:5" s="83" customFormat="1" ht="15" customHeight="1" x14ac:dyDescent="0.2">
      <c r="A112" s="81" t="s">
        <v>467</v>
      </c>
      <c r="B112" s="81" t="s">
        <v>218</v>
      </c>
      <c r="C112" s="82">
        <v>137139</v>
      </c>
      <c r="D112" s="82">
        <v>9020</v>
      </c>
      <c r="E112" s="82">
        <f t="shared" si="3"/>
        <v>146159</v>
      </c>
    </row>
    <row r="113" spans="1:5" s="83" customFormat="1" ht="15" customHeight="1" x14ac:dyDescent="0.2">
      <c r="A113" s="81" t="s">
        <v>468</v>
      </c>
      <c r="B113" s="81" t="s">
        <v>104</v>
      </c>
      <c r="C113" s="82">
        <v>0</v>
      </c>
      <c r="D113" s="82">
        <v>13004.320000000002</v>
      </c>
      <c r="E113" s="82">
        <f t="shared" si="3"/>
        <v>13004.320000000002</v>
      </c>
    </row>
    <row r="114" spans="1:5" s="83" customFormat="1" ht="15" customHeight="1" x14ac:dyDescent="0.2">
      <c r="A114" s="81" t="s">
        <v>469</v>
      </c>
      <c r="B114" s="81" t="s">
        <v>106</v>
      </c>
      <c r="C114" s="82">
        <v>1006159</v>
      </c>
      <c r="D114" s="82">
        <v>-4451.5999999999985</v>
      </c>
      <c r="E114" s="82">
        <f t="shared" si="3"/>
        <v>1001707.4</v>
      </c>
    </row>
    <row r="115" spans="1:5" s="83" customFormat="1" ht="15" customHeight="1" x14ac:dyDescent="0.2">
      <c r="A115" s="81" t="s">
        <v>470</v>
      </c>
      <c r="B115" s="81" t="s">
        <v>109</v>
      </c>
      <c r="C115" s="82">
        <v>0</v>
      </c>
      <c r="D115" s="82">
        <v>68456.600000000006</v>
      </c>
      <c r="E115" s="82">
        <f t="shared" si="3"/>
        <v>68456.600000000006</v>
      </c>
    </row>
    <row r="116" spans="1:5" s="83" customFormat="1" ht="15" customHeight="1" x14ac:dyDescent="0.2">
      <c r="A116" s="81" t="s">
        <v>471</v>
      </c>
      <c r="B116" s="81" t="s">
        <v>266</v>
      </c>
      <c r="C116" s="82">
        <v>98006</v>
      </c>
      <c r="D116" s="82">
        <v>-15487</v>
      </c>
      <c r="E116" s="82">
        <f t="shared" si="3"/>
        <v>82519</v>
      </c>
    </row>
    <row r="117" spans="1:5" s="83" customFormat="1" ht="15" customHeight="1" x14ac:dyDescent="0.2">
      <c r="A117" s="81" t="s">
        <v>472</v>
      </c>
      <c r="B117" s="81" t="s">
        <v>111</v>
      </c>
      <c r="C117" s="82">
        <v>0</v>
      </c>
      <c r="D117" s="82">
        <v>4976.87</v>
      </c>
      <c r="E117" s="82">
        <f t="shared" si="3"/>
        <v>4976.87</v>
      </c>
    </row>
    <row r="118" spans="1:5" s="83" customFormat="1" ht="15" customHeight="1" x14ac:dyDescent="0.2">
      <c r="A118" s="81" t="s">
        <v>473</v>
      </c>
      <c r="B118" s="81" t="s">
        <v>474</v>
      </c>
      <c r="C118" s="82">
        <v>25000</v>
      </c>
      <c r="D118" s="82">
        <v>0</v>
      </c>
      <c r="E118" s="82">
        <f t="shared" si="3"/>
        <v>25000</v>
      </c>
    </row>
    <row r="119" spans="1:5" ht="15" customHeight="1" x14ac:dyDescent="0.2">
      <c r="A119" s="74" t="s">
        <v>475</v>
      </c>
      <c r="B119" s="74" t="s">
        <v>476</v>
      </c>
      <c r="C119" s="78">
        <f>SUM(C120:C130)</f>
        <v>1737764</v>
      </c>
      <c r="D119" s="78">
        <f>SUM(D120:D130)</f>
        <v>1896124.0599999998</v>
      </c>
      <c r="E119" s="78">
        <f t="shared" si="3"/>
        <v>3633888.0599999996</v>
      </c>
    </row>
    <row r="120" spans="1:5" s="83" customFormat="1" ht="15" customHeight="1" x14ac:dyDescent="0.2">
      <c r="A120" s="81" t="s">
        <v>477</v>
      </c>
      <c r="B120" s="81" t="s">
        <v>113</v>
      </c>
      <c r="C120" s="82">
        <v>146879</v>
      </c>
      <c r="D120" s="82">
        <v>2015.4</v>
      </c>
      <c r="E120" s="82">
        <f t="shared" si="3"/>
        <v>148894.39999999999</v>
      </c>
    </row>
    <row r="121" spans="1:5" s="83" customFormat="1" ht="15" customHeight="1" x14ac:dyDescent="0.2">
      <c r="A121" s="81" t="s">
        <v>478</v>
      </c>
      <c r="B121" s="81" t="s">
        <v>116</v>
      </c>
      <c r="C121" s="82">
        <v>0</v>
      </c>
      <c r="D121" s="82">
        <v>146437.46</v>
      </c>
      <c r="E121" s="82">
        <f t="shared" si="3"/>
        <v>146437.46</v>
      </c>
    </row>
    <row r="122" spans="1:5" s="83" customFormat="1" ht="15" customHeight="1" x14ac:dyDescent="0.2">
      <c r="A122" s="81" t="s">
        <v>479</v>
      </c>
      <c r="B122" s="81" t="s">
        <v>480</v>
      </c>
      <c r="C122" s="82">
        <v>0</v>
      </c>
      <c r="D122" s="82">
        <v>167248.71</v>
      </c>
      <c r="E122" s="82">
        <f t="shared" si="3"/>
        <v>167248.71</v>
      </c>
    </row>
    <row r="123" spans="1:5" s="83" customFormat="1" ht="15" customHeight="1" x14ac:dyDescent="0.2">
      <c r="A123" s="81" t="s">
        <v>481</v>
      </c>
      <c r="B123" s="81" t="s">
        <v>121</v>
      </c>
      <c r="C123" s="82">
        <v>581957</v>
      </c>
      <c r="D123" s="82">
        <v>-12693.45</v>
      </c>
      <c r="E123" s="82">
        <f t="shared" si="3"/>
        <v>569263.55000000005</v>
      </c>
    </row>
    <row r="124" spans="1:5" s="83" customFormat="1" ht="15" customHeight="1" x14ac:dyDescent="0.2">
      <c r="A124" s="81" t="s">
        <v>482</v>
      </c>
      <c r="B124" s="81" t="s">
        <v>123</v>
      </c>
      <c r="C124" s="82">
        <v>0</v>
      </c>
      <c r="D124" s="82">
        <v>662260.88</v>
      </c>
      <c r="E124" s="82">
        <f t="shared" si="3"/>
        <v>662260.88</v>
      </c>
    </row>
    <row r="125" spans="1:5" s="83" customFormat="1" ht="15" customHeight="1" x14ac:dyDescent="0.2">
      <c r="A125" s="81" t="s">
        <v>483</v>
      </c>
      <c r="B125" s="81" t="s">
        <v>125</v>
      </c>
      <c r="C125" s="82">
        <v>0</v>
      </c>
      <c r="D125" s="82">
        <v>846619.45</v>
      </c>
      <c r="E125" s="82">
        <f t="shared" si="3"/>
        <v>846619.45</v>
      </c>
    </row>
    <row r="126" spans="1:5" s="83" customFormat="1" ht="15" customHeight="1" x14ac:dyDescent="0.2">
      <c r="A126" s="81" t="s">
        <v>484</v>
      </c>
      <c r="B126" s="81" t="s">
        <v>127</v>
      </c>
      <c r="C126" s="82">
        <v>88646</v>
      </c>
      <c r="D126" s="82">
        <v>-4534</v>
      </c>
      <c r="E126" s="82">
        <f t="shared" si="3"/>
        <v>84112</v>
      </c>
    </row>
    <row r="127" spans="1:5" s="83" customFormat="1" ht="15" customHeight="1" x14ac:dyDescent="0.2">
      <c r="A127" s="81" t="s">
        <v>485</v>
      </c>
      <c r="B127" s="81" t="s">
        <v>129</v>
      </c>
      <c r="C127" s="82">
        <v>0</v>
      </c>
      <c r="D127" s="82">
        <v>24053.97</v>
      </c>
      <c r="E127" s="82">
        <f t="shared" si="3"/>
        <v>24053.97</v>
      </c>
    </row>
    <row r="128" spans="1:5" s="83" customFormat="1" ht="15" customHeight="1" x14ac:dyDescent="0.2">
      <c r="A128" s="81" t="s">
        <v>486</v>
      </c>
      <c r="B128" s="81" t="s">
        <v>132</v>
      </c>
      <c r="C128" s="82">
        <v>236703</v>
      </c>
      <c r="D128" s="82">
        <v>-33431.1</v>
      </c>
      <c r="E128" s="82">
        <f t="shared" si="3"/>
        <v>203271.9</v>
      </c>
    </row>
    <row r="129" spans="1:5" s="83" customFormat="1" ht="15" customHeight="1" x14ac:dyDescent="0.2">
      <c r="A129" s="81" t="s">
        <v>487</v>
      </c>
      <c r="B129" s="81" t="s">
        <v>135</v>
      </c>
      <c r="C129" s="82">
        <v>638579</v>
      </c>
      <c r="D129" s="82">
        <v>98146.739999999991</v>
      </c>
      <c r="E129" s="82">
        <f t="shared" si="3"/>
        <v>736725.74</v>
      </c>
    </row>
    <row r="130" spans="1:5" s="83" customFormat="1" ht="15" customHeight="1" x14ac:dyDescent="0.2">
      <c r="A130" s="81" t="s">
        <v>488</v>
      </c>
      <c r="B130" s="81" t="s">
        <v>489</v>
      </c>
      <c r="C130" s="82">
        <v>45000</v>
      </c>
      <c r="D130" s="82">
        <v>0</v>
      </c>
      <c r="E130" s="82">
        <f t="shared" si="3"/>
        <v>45000</v>
      </c>
    </row>
    <row r="131" spans="1:5" ht="15" customHeight="1" x14ac:dyDescent="0.2">
      <c r="A131" s="74" t="s">
        <v>490</v>
      </c>
      <c r="B131" s="74" t="s">
        <v>491</v>
      </c>
      <c r="C131" s="78">
        <f>SUM(C132:C132)</f>
        <v>0</v>
      </c>
      <c r="D131" s="78">
        <f>SUM(D132:D132)</f>
        <v>132863.32</v>
      </c>
      <c r="E131" s="78">
        <f t="shared" si="3"/>
        <v>132863.32</v>
      </c>
    </row>
    <row r="132" spans="1:5" s="83" customFormat="1" ht="15" customHeight="1" x14ac:dyDescent="0.2">
      <c r="A132" s="81" t="s">
        <v>492</v>
      </c>
      <c r="B132" s="81" t="s">
        <v>125</v>
      </c>
      <c r="C132" s="82">
        <v>0</v>
      </c>
      <c r="D132" s="82">
        <v>132863.32</v>
      </c>
      <c r="E132" s="82">
        <f t="shared" si="3"/>
        <v>132863.32</v>
      </c>
    </row>
    <row r="133" spans="1:5" ht="15" customHeight="1" x14ac:dyDescent="0.2">
      <c r="A133" s="74" t="s">
        <v>493</v>
      </c>
      <c r="B133" s="74" t="s">
        <v>494</v>
      </c>
      <c r="C133" s="78">
        <f>SUM(C134:C137)</f>
        <v>581000</v>
      </c>
      <c r="D133" s="78">
        <f>SUM(D134:D137)</f>
        <v>4200</v>
      </c>
      <c r="E133" s="78">
        <f t="shared" ref="E133:E164" si="4">SUM(C133:D133)</f>
        <v>585200</v>
      </c>
    </row>
    <row r="134" spans="1:5" s="83" customFormat="1" ht="15" customHeight="1" x14ac:dyDescent="0.2">
      <c r="A134" s="81" t="s">
        <v>495</v>
      </c>
      <c r="B134" s="81" t="s">
        <v>496</v>
      </c>
      <c r="C134" s="82">
        <v>0</v>
      </c>
      <c r="D134" s="82">
        <v>0</v>
      </c>
      <c r="E134" s="82">
        <f t="shared" si="4"/>
        <v>0</v>
      </c>
    </row>
    <row r="135" spans="1:5" s="83" customFormat="1" ht="15" customHeight="1" x14ac:dyDescent="0.2">
      <c r="A135" s="81" t="s">
        <v>497</v>
      </c>
      <c r="B135" s="81" t="s">
        <v>273</v>
      </c>
      <c r="C135" s="82">
        <v>571000</v>
      </c>
      <c r="D135" s="82">
        <v>-46800</v>
      </c>
      <c r="E135" s="82">
        <f t="shared" si="4"/>
        <v>524200</v>
      </c>
    </row>
    <row r="136" spans="1:5" s="83" customFormat="1" ht="15" customHeight="1" x14ac:dyDescent="0.2">
      <c r="A136" s="81" t="s">
        <v>498</v>
      </c>
      <c r="B136" s="81" t="s">
        <v>141</v>
      </c>
      <c r="C136" s="82">
        <v>0</v>
      </c>
      <c r="D136" s="82">
        <v>51000</v>
      </c>
      <c r="E136" s="82">
        <f t="shared" si="4"/>
        <v>51000</v>
      </c>
    </row>
    <row r="137" spans="1:5" s="83" customFormat="1" ht="15" customHeight="1" x14ac:dyDescent="0.2">
      <c r="A137" s="81" t="s">
        <v>499</v>
      </c>
      <c r="B137" s="81" t="s">
        <v>500</v>
      </c>
      <c r="C137" s="82">
        <v>10000</v>
      </c>
      <c r="D137" s="82">
        <v>0</v>
      </c>
      <c r="E137" s="82">
        <f t="shared" si="4"/>
        <v>10000</v>
      </c>
    </row>
    <row r="138" spans="1:5" ht="15" customHeight="1" x14ac:dyDescent="0.2">
      <c r="A138" s="74" t="s">
        <v>501</v>
      </c>
      <c r="B138" s="74" t="s">
        <v>502</v>
      </c>
      <c r="C138" s="78">
        <v>1000</v>
      </c>
      <c r="D138" s="78">
        <v>0</v>
      </c>
      <c r="E138" s="78">
        <f t="shared" si="4"/>
        <v>1000</v>
      </c>
    </row>
    <row r="139" spans="1:5" ht="15" customHeight="1" x14ac:dyDescent="0.2">
      <c r="A139" s="74" t="s">
        <v>503</v>
      </c>
      <c r="B139" s="74" t="s">
        <v>504</v>
      </c>
      <c r="C139" s="78">
        <f>SUM(C140:C149)</f>
        <v>15925</v>
      </c>
      <c r="D139" s="78">
        <f>SUM(D140:D149)</f>
        <v>127479.35</v>
      </c>
      <c r="E139" s="78">
        <f t="shared" si="4"/>
        <v>143404.35</v>
      </c>
    </row>
    <row r="140" spans="1:5" s="83" customFormat="1" ht="15" customHeight="1" x14ac:dyDescent="0.2">
      <c r="A140" s="81" t="s">
        <v>505</v>
      </c>
      <c r="B140" s="81" t="s">
        <v>506</v>
      </c>
      <c r="C140" s="82">
        <v>0</v>
      </c>
      <c r="D140" s="82">
        <v>35175</v>
      </c>
      <c r="E140" s="82">
        <f t="shared" si="4"/>
        <v>35175</v>
      </c>
    </row>
    <row r="141" spans="1:5" s="83" customFormat="1" ht="15" customHeight="1" x14ac:dyDescent="0.2">
      <c r="A141" s="81" t="s">
        <v>507</v>
      </c>
      <c r="B141" s="81" t="s">
        <v>508</v>
      </c>
      <c r="C141" s="82">
        <v>2000</v>
      </c>
      <c r="D141" s="82">
        <v>0</v>
      </c>
      <c r="E141" s="82">
        <f t="shared" si="4"/>
        <v>2000</v>
      </c>
    </row>
    <row r="142" spans="1:5" s="83" customFormat="1" ht="15" customHeight="1" x14ac:dyDescent="0.2">
      <c r="A142" s="81" t="s">
        <v>509</v>
      </c>
      <c r="B142" s="81" t="s">
        <v>510</v>
      </c>
      <c r="C142" s="82">
        <v>0</v>
      </c>
      <c r="D142" s="82">
        <v>79269.39</v>
      </c>
      <c r="E142" s="82">
        <f t="shared" si="4"/>
        <v>79269.39</v>
      </c>
    </row>
    <row r="143" spans="1:5" s="83" customFormat="1" ht="15" customHeight="1" x14ac:dyDescent="0.2">
      <c r="A143" s="81" t="s">
        <v>511</v>
      </c>
      <c r="B143" s="81" t="s">
        <v>512</v>
      </c>
      <c r="C143" s="82">
        <v>3030</v>
      </c>
      <c r="D143" s="82">
        <v>0</v>
      </c>
      <c r="E143" s="82">
        <f t="shared" si="4"/>
        <v>3030</v>
      </c>
    </row>
    <row r="144" spans="1:5" s="83" customFormat="1" ht="15" customHeight="1" x14ac:dyDescent="0.2">
      <c r="A144" s="81" t="s">
        <v>513</v>
      </c>
      <c r="B144" s="81" t="s">
        <v>514</v>
      </c>
      <c r="C144" s="82">
        <v>0</v>
      </c>
      <c r="D144" s="82">
        <v>7347.14</v>
      </c>
      <c r="E144" s="82">
        <f t="shared" si="4"/>
        <v>7347.14</v>
      </c>
    </row>
    <row r="145" spans="1:5" s="83" customFormat="1" ht="15" customHeight="1" x14ac:dyDescent="0.2">
      <c r="A145" s="81" t="s">
        <v>515</v>
      </c>
      <c r="B145" s="81" t="s">
        <v>516</v>
      </c>
      <c r="C145" s="82">
        <v>3150</v>
      </c>
      <c r="D145" s="82">
        <v>87.82</v>
      </c>
      <c r="E145" s="82">
        <f t="shared" si="4"/>
        <v>3237.82</v>
      </c>
    </row>
    <row r="146" spans="1:5" s="83" customFormat="1" ht="15" customHeight="1" x14ac:dyDescent="0.2">
      <c r="A146" s="81" t="s">
        <v>517</v>
      </c>
      <c r="B146" s="81" t="s">
        <v>518</v>
      </c>
      <c r="C146" s="82">
        <v>0</v>
      </c>
      <c r="D146" s="82">
        <v>9100</v>
      </c>
      <c r="E146" s="82">
        <f t="shared" si="4"/>
        <v>9100</v>
      </c>
    </row>
    <row r="147" spans="1:5" s="83" customFormat="1" ht="15" customHeight="1" x14ac:dyDescent="0.2">
      <c r="A147" s="81" t="s">
        <v>519</v>
      </c>
      <c r="B147" s="81" t="s">
        <v>520</v>
      </c>
      <c r="C147" s="82">
        <v>3745</v>
      </c>
      <c r="D147" s="82">
        <v>350</v>
      </c>
      <c r="E147" s="82">
        <f t="shared" si="4"/>
        <v>4095</v>
      </c>
    </row>
    <row r="148" spans="1:5" s="83" customFormat="1" ht="15" customHeight="1" x14ac:dyDescent="0.2">
      <c r="A148" s="81" t="s">
        <v>521</v>
      </c>
      <c r="B148" s="81" t="s">
        <v>522</v>
      </c>
      <c r="C148" s="82">
        <v>0</v>
      </c>
      <c r="D148" s="82">
        <v>0</v>
      </c>
      <c r="E148" s="82">
        <f t="shared" si="4"/>
        <v>0</v>
      </c>
    </row>
    <row r="149" spans="1:5" s="83" customFormat="1" ht="15" customHeight="1" x14ac:dyDescent="0.2">
      <c r="A149" s="81" t="s">
        <v>523</v>
      </c>
      <c r="B149" s="81" t="s">
        <v>524</v>
      </c>
      <c r="C149" s="82">
        <v>4000</v>
      </c>
      <c r="D149" s="82">
        <v>-3850</v>
      </c>
      <c r="E149" s="82">
        <f t="shared" si="4"/>
        <v>150</v>
      </c>
    </row>
    <row r="150" spans="1:5" ht="15" customHeight="1" thickBot="1" x14ac:dyDescent="0.25">
      <c r="A150" s="74" t="s">
        <v>147</v>
      </c>
      <c r="B150" s="74" t="s">
        <v>148</v>
      </c>
      <c r="C150" s="78">
        <v>4500</v>
      </c>
      <c r="D150" s="78">
        <v>35065</v>
      </c>
      <c r="E150" s="78">
        <f t="shared" si="4"/>
        <v>39565</v>
      </c>
    </row>
    <row r="151" spans="1:5" ht="15" customHeight="1" thickBot="1" x14ac:dyDescent="0.25">
      <c r="A151" s="70" t="s">
        <v>525</v>
      </c>
      <c r="B151" s="70" t="s">
        <v>526</v>
      </c>
      <c r="C151" s="77">
        <f>SUM(C152,C153,C161,C162,C163,C164,C165,C166)</f>
        <v>1000647</v>
      </c>
      <c r="D151" s="77">
        <f>SUM(D152,D153,D161,D162,D163,D164,D165,D166)</f>
        <v>775674.21</v>
      </c>
      <c r="E151" s="77">
        <f t="shared" si="4"/>
        <v>1776321.21</v>
      </c>
    </row>
    <row r="152" spans="1:5" ht="15" customHeight="1" x14ac:dyDescent="0.2">
      <c r="A152" s="74" t="s">
        <v>151</v>
      </c>
      <c r="B152" s="74" t="s">
        <v>152</v>
      </c>
      <c r="C152" s="78">
        <v>159241</v>
      </c>
      <c r="D152" s="78">
        <v>129275.4</v>
      </c>
      <c r="E152" s="78">
        <f t="shared" si="4"/>
        <v>288516.40000000002</v>
      </c>
    </row>
    <row r="153" spans="1:5" ht="15" customHeight="1" x14ac:dyDescent="0.2">
      <c r="A153" s="74" t="s">
        <v>527</v>
      </c>
      <c r="B153" s="74" t="s">
        <v>528</v>
      </c>
      <c r="C153" s="78">
        <f t="shared" ref="C153:D153" si="5">SUM(C154:C160)</f>
        <v>299375</v>
      </c>
      <c r="D153" s="78">
        <f t="shared" si="5"/>
        <v>8517.01</v>
      </c>
      <c r="E153" s="78">
        <f t="shared" si="4"/>
        <v>307892.01</v>
      </c>
    </row>
    <row r="154" spans="1:5" s="83" customFormat="1" ht="15" customHeight="1" x14ac:dyDescent="0.2">
      <c r="A154" s="81" t="s">
        <v>529</v>
      </c>
      <c r="B154" s="81" t="s">
        <v>530</v>
      </c>
      <c r="C154" s="82">
        <v>266500</v>
      </c>
      <c r="D154" s="82">
        <v>0</v>
      </c>
      <c r="E154" s="82">
        <f t="shared" si="4"/>
        <v>266500</v>
      </c>
    </row>
    <row r="155" spans="1:5" s="83" customFormat="1" ht="15" customHeight="1" x14ac:dyDescent="0.2">
      <c r="A155" s="81" t="s">
        <v>531</v>
      </c>
      <c r="B155" s="81" t="s">
        <v>157</v>
      </c>
      <c r="C155" s="82">
        <v>13442</v>
      </c>
      <c r="D155" s="82">
        <v>8517.01</v>
      </c>
      <c r="E155" s="82">
        <f t="shared" si="4"/>
        <v>21959.010000000002</v>
      </c>
    </row>
    <row r="156" spans="1:5" s="83" customFormat="1" ht="15" customHeight="1" x14ac:dyDescent="0.2">
      <c r="A156" s="81" t="s">
        <v>532</v>
      </c>
      <c r="B156" s="81" t="s">
        <v>533</v>
      </c>
      <c r="C156" s="82">
        <v>3735</v>
      </c>
      <c r="D156" s="82">
        <v>0</v>
      </c>
      <c r="E156" s="82">
        <f t="shared" si="4"/>
        <v>3735</v>
      </c>
    </row>
    <row r="157" spans="1:5" s="83" customFormat="1" ht="15" customHeight="1" x14ac:dyDescent="0.2">
      <c r="A157" s="81" t="s">
        <v>534</v>
      </c>
      <c r="B157" s="81" t="s">
        <v>535</v>
      </c>
      <c r="C157" s="82">
        <v>3470</v>
      </c>
      <c r="D157" s="82">
        <v>0</v>
      </c>
      <c r="E157" s="82">
        <f t="shared" si="4"/>
        <v>3470</v>
      </c>
    </row>
    <row r="158" spans="1:5" s="83" customFormat="1" ht="15" customHeight="1" x14ac:dyDescent="0.2">
      <c r="A158" s="81" t="s">
        <v>536</v>
      </c>
      <c r="B158" s="81" t="s">
        <v>537</v>
      </c>
      <c r="C158" s="82">
        <v>3085</v>
      </c>
      <c r="D158" s="82">
        <v>0</v>
      </c>
      <c r="E158" s="82">
        <f t="shared" si="4"/>
        <v>3085</v>
      </c>
    </row>
    <row r="159" spans="1:5" s="83" customFormat="1" ht="15" customHeight="1" x14ac:dyDescent="0.2">
      <c r="A159" s="81" t="s">
        <v>538</v>
      </c>
      <c r="B159" s="81" t="s">
        <v>539</v>
      </c>
      <c r="C159" s="82">
        <v>3274</v>
      </c>
      <c r="D159" s="82">
        <v>0</v>
      </c>
      <c r="E159" s="82">
        <f t="shared" si="4"/>
        <v>3274</v>
      </c>
    </row>
    <row r="160" spans="1:5" s="83" customFormat="1" ht="15" customHeight="1" x14ac:dyDescent="0.2">
      <c r="A160" s="81" t="s">
        <v>540</v>
      </c>
      <c r="B160" s="81" t="s">
        <v>541</v>
      </c>
      <c r="C160" s="82">
        <v>5869</v>
      </c>
      <c r="D160" s="82">
        <v>0</v>
      </c>
      <c r="E160" s="82">
        <f t="shared" si="4"/>
        <v>5869</v>
      </c>
    </row>
    <row r="161" spans="1:5" ht="15" customHeight="1" x14ac:dyDescent="0.2">
      <c r="A161" s="74" t="s">
        <v>542</v>
      </c>
      <c r="B161" s="74" t="s">
        <v>543</v>
      </c>
      <c r="C161" s="78">
        <v>17200</v>
      </c>
      <c r="D161" s="78">
        <v>0</v>
      </c>
      <c r="E161" s="78">
        <f t="shared" si="4"/>
        <v>17200</v>
      </c>
    </row>
    <row r="162" spans="1:5" ht="15" customHeight="1" x14ac:dyDescent="0.2">
      <c r="A162" s="74" t="s">
        <v>158</v>
      </c>
      <c r="B162" s="74" t="s">
        <v>159</v>
      </c>
      <c r="C162" s="78">
        <v>0</v>
      </c>
      <c r="D162" s="78">
        <v>269439</v>
      </c>
      <c r="E162" s="78">
        <f t="shared" si="4"/>
        <v>269439</v>
      </c>
    </row>
    <row r="163" spans="1:5" ht="15" customHeight="1" x14ac:dyDescent="0.2">
      <c r="A163" s="74" t="s">
        <v>161</v>
      </c>
      <c r="B163" s="74" t="s">
        <v>162</v>
      </c>
      <c r="C163" s="78">
        <v>55200</v>
      </c>
      <c r="D163" s="78">
        <v>159887.71</v>
      </c>
      <c r="E163" s="78">
        <f t="shared" si="4"/>
        <v>215087.71</v>
      </c>
    </row>
    <row r="164" spans="1:5" ht="15" customHeight="1" x14ac:dyDescent="0.2">
      <c r="A164" s="74" t="s">
        <v>164</v>
      </c>
      <c r="B164" s="74" t="s">
        <v>165</v>
      </c>
      <c r="C164" s="78">
        <v>0</v>
      </c>
      <c r="D164" s="78">
        <v>202555.09000000003</v>
      </c>
      <c r="E164" s="78">
        <f t="shared" si="4"/>
        <v>202555.09000000003</v>
      </c>
    </row>
    <row r="165" spans="1:5" ht="15" customHeight="1" x14ac:dyDescent="0.2">
      <c r="A165" s="74" t="s">
        <v>544</v>
      </c>
      <c r="B165" s="74" t="s">
        <v>545</v>
      </c>
      <c r="C165" s="78">
        <v>42600</v>
      </c>
      <c r="D165" s="78">
        <v>0</v>
      </c>
      <c r="E165" s="78">
        <f t="shared" ref="E165:E168" si="6">SUM(C165:D165)</f>
        <v>42600</v>
      </c>
    </row>
    <row r="166" spans="1:5" ht="15" customHeight="1" x14ac:dyDescent="0.2">
      <c r="A166" s="86" t="s">
        <v>167</v>
      </c>
      <c r="B166" s="86" t="s">
        <v>546</v>
      </c>
      <c r="C166" s="87">
        <v>427031</v>
      </c>
      <c r="D166" s="87">
        <v>6000</v>
      </c>
      <c r="E166" s="87">
        <f t="shared" si="6"/>
        <v>433031</v>
      </c>
    </row>
    <row r="167" spans="1:5" ht="15" customHeight="1" x14ac:dyDescent="0.2">
      <c r="A167" s="89"/>
      <c r="B167" s="90" t="s">
        <v>547</v>
      </c>
      <c r="C167" s="91">
        <f>C37+C38-C41+C42</f>
        <v>0</v>
      </c>
      <c r="D167" s="91">
        <f>D37+D38-D41+D42</f>
        <v>0</v>
      </c>
      <c r="E167" s="91">
        <f t="shared" si="6"/>
        <v>0</v>
      </c>
    </row>
    <row r="168" spans="1:5" ht="15" customHeight="1" x14ac:dyDescent="0.2">
      <c r="A168" s="89"/>
      <c r="B168" s="90" t="s">
        <v>548</v>
      </c>
      <c r="C168" s="92">
        <f>-C20+C32+C34+C36+C43</f>
        <v>0</v>
      </c>
      <c r="D168" s="92">
        <f>-D20+D32+D34+D36+D43</f>
        <v>0</v>
      </c>
      <c r="E168" s="92">
        <f t="shared" si="6"/>
        <v>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8"/>
  <sheetViews>
    <sheetView topLeftCell="A256" workbookViewId="0">
      <selection activeCell="H258" sqref="H258:K258"/>
    </sheetView>
  </sheetViews>
  <sheetFormatPr defaultRowHeight="14.4" x14ac:dyDescent="0.3"/>
  <cols>
    <col min="4" max="4" width="8" customWidth="1"/>
    <col min="5" max="5" width="7.5546875" customWidth="1"/>
    <col min="6" max="6" width="11.44140625" bestFit="1" customWidth="1"/>
    <col min="7" max="7" width="5.33203125" customWidth="1"/>
    <col min="8" max="9" width="8.88671875" style="1"/>
    <col min="10" max="10" width="23.33203125" style="1" customWidth="1"/>
    <col min="11" max="11" width="9.88671875" style="1" bestFit="1" customWidth="1"/>
  </cols>
  <sheetData>
    <row r="2" spans="1:11" ht="21" x14ac:dyDescent="0.4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1" x14ac:dyDescent="0.3">
      <c r="B3" s="2"/>
    </row>
    <row r="4" spans="1:11" ht="21" x14ac:dyDescent="0.4">
      <c r="A4" s="242" t="s">
        <v>1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1" x14ac:dyDescent="0.3">
      <c r="B5" s="2"/>
    </row>
    <row r="6" spans="1:11" ht="29.25" customHeight="1" x14ac:dyDescent="0.3">
      <c r="A6" s="231" t="s">
        <v>2</v>
      </c>
      <c r="B6" s="231"/>
      <c r="C6" s="231"/>
      <c r="D6" s="231"/>
      <c r="E6" s="231"/>
      <c r="F6" s="231"/>
      <c r="G6" s="231"/>
      <c r="H6" s="231"/>
      <c r="I6" s="231"/>
      <c r="J6" s="231"/>
    </row>
    <row r="7" spans="1:11" x14ac:dyDescent="0.3">
      <c r="A7" s="3"/>
      <c r="B7" s="2"/>
    </row>
    <row r="8" spans="1:11" x14ac:dyDescent="0.3">
      <c r="A8" s="108" t="s">
        <v>3</v>
      </c>
      <c r="B8" s="109"/>
      <c r="C8" s="109"/>
      <c r="D8" s="109"/>
      <c r="E8" s="4"/>
      <c r="F8" s="5" t="s">
        <v>4</v>
      </c>
      <c r="G8" s="108" t="s">
        <v>5</v>
      </c>
      <c r="H8" s="109"/>
      <c r="I8" s="109"/>
      <c r="J8" s="109"/>
      <c r="K8" s="110"/>
    </row>
    <row r="9" spans="1:11" ht="15" customHeight="1" x14ac:dyDescent="0.3">
      <c r="A9" s="6" t="s">
        <v>6</v>
      </c>
      <c r="B9" s="264" t="s">
        <v>7</v>
      </c>
      <c r="C9" s="265"/>
      <c r="D9" s="265"/>
      <c r="E9" s="266"/>
      <c r="F9" s="7">
        <f>SUM(F10:F10)</f>
        <v>401.4</v>
      </c>
      <c r="G9" s="267"/>
      <c r="H9" s="268"/>
      <c r="I9" s="268"/>
      <c r="J9" s="268"/>
      <c r="K9" s="269"/>
    </row>
    <row r="10" spans="1:11" ht="13.95" customHeight="1" x14ac:dyDescent="0.3">
      <c r="A10" s="8"/>
      <c r="B10" s="270" t="s">
        <v>8</v>
      </c>
      <c r="C10" s="271"/>
      <c r="D10" s="271"/>
      <c r="E10" s="272"/>
      <c r="F10" s="9">
        <v>401.4</v>
      </c>
      <c r="G10" s="282" t="s">
        <v>9</v>
      </c>
      <c r="H10" s="283"/>
      <c r="I10" s="283"/>
      <c r="J10" s="283"/>
      <c r="K10" s="284"/>
    </row>
    <row r="11" spans="1:11" ht="16.2" customHeight="1" x14ac:dyDescent="0.3">
      <c r="A11" s="6" t="s">
        <v>10</v>
      </c>
      <c r="B11" s="264" t="s">
        <v>11</v>
      </c>
      <c r="C11" s="265"/>
      <c r="D11" s="265"/>
      <c r="E11" s="266"/>
      <c r="F11" s="7">
        <f>SUM(F12)</f>
        <v>3454</v>
      </c>
      <c r="G11" s="267"/>
      <c r="H11" s="268"/>
      <c r="I11" s="268"/>
      <c r="J11" s="268"/>
      <c r="K11" s="269"/>
    </row>
    <row r="12" spans="1:11" s="10" customFormat="1" x14ac:dyDescent="0.3">
      <c r="A12" s="8"/>
      <c r="B12" s="270" t="s">
        <v>12</v>
      </c>
      <c r="C12" s="271"/>
      <c r="D12" s="271"/>
      <c r="E12" s="272"/>
      <c r="F12" s="9">
        <v>3454</v>
      </c>
      <c r="G12" s="282" t="s">
        <v>13</v>
      </c>
      <c r="H12" s="283"/>
      <c r="I12" s="283"/>
      <c r="J12" s="283"/>
      <c r="K12" s="284"/>
    </row>
    <row r="13" spans="1:11" s="11" customFormat="1" ht="30" customHeight="1" x14ac:dyDescent="0.3">
      <c r="A13" s="6" t="s">
        <v>14</v>
      </c>
      <c r="B13" s="264" t="s">
        <v>15</v>
      </c>
      <c r="C13" s="265"/>
      <c r="D13" s="265"/>
      <c r="E13" s="266"/>
      <c r="F13" s="7">
        <f>SUM(F14:F22)</f>
        <v>453296.3</v>
      </c>
      <c r="G13" s="267"/>
      <c r="H13" s="268"/>
      <c r="I13" s="268"/>
      <c r="J13" s="268"/>
      <c r="K13" s="269"/>
    </row>
    <row r="14" spans="1:11" ht="13.95" customHeight="1" x14ac:dyDescent="0.3">
      <c r="A14" s="60"/>
      <c r="B14" s="270" t="s">
        <v>16</v>
      </c>
      <c r="C14" s="271"/>
      <c r="D14" s="271"/>
      <c r="E14" s="272"/>
      <c r="F14" s="12">
        <v>358.9</v>
      </c>
      <c r="G14" s="120" t="s">
        <v>17</v>
      </c>
      <c r="H14" s="121"/>
      <c r="I14" s="121"/>
      <c r="J14" s="121"/>
      <c r="K14" s="122"/>
    </row>
    <row r="15" spans="1:11" x14ac:dyDescent="0.3">
      <c r="A15" s="60"/>
      <c r="B15" s="270" t="s">
        <v>16</v>
      </c>
      <c r="C15" s="271"/>
      <c r="D15" s="271"/>
      <c r="E15" s="272"/>
      <c r="F15" s="12">
        <v>127000</v>
      </c>
      <c r="G15" s="120" t="s">
        <v>295</v>
      </c>
      <c r="H15" s="121"/>
      <c r="I15" s="121"/>
      <c r="J15" s="121"/>
      <c r="K15" s="122"/>
    </row>
    <row r="16" spans="1:11" ht="30.6" customHeight="1" x14ac:dyDescent="0.3">
      <c r="A16" s="60"/>
      <c r="B16" s="270" t="s">
        <v>18</v>
      </c>
      <c r="C16" s="271"/>
      <c r="D16" s="271"/>
      <c r="E16" s="272"/>
      <c r="F16" s="12">
        <v>5000</v>
      </c>
      <c r="G16" s="120" t="s">
        <v>304</v>
      </c>
      <c r="H16" s="121"/>
      <c r="I16" s="121"/>
      <c r="J16" s="121"/>
      <c r="K16" s="122"/>
    </row>
    <row r="17" spans="1:11" x14ac:dyDescent="0.3">
      <c r="A17" s="60"/>
      <c r="B17" s="270" t="s">
        <v>18</v>
      </c>
      <c r="C17" s="271"/>
      <c r="D17" s="271"/>
      <c r="E17" s="272"/>
      <c r="F17" s="12">
        <v>23480</v>
      </c>
      <c r="G17" s="120" t="s">
        <v>305</v>
      </c>
      <c r="H17" s="121"/>
      <c r="I17" s="121"/>
      <c r="J17" s="121"/>
      <c r="K17" s="122"/>
    </row>
    <row r="18" spans="1:11" ht="30.6" customHeight="1" x14ac:dyDescent="0.3">
      <c r="A18" s="60"/>
      <c r="B18" s="270" t="s">
        <v>18</v>
      </c>
      <c r="C18" s="271"/>
      <c r="D18" s="271"/>
      <c r="E18" s="272"/>
      <c r="F18" s="12">
        <v>38578</v>
      </c>
      <c r="G18" s="120" t="s">
        <v>19</v>
      </c>
      <c r="H18" s="121"/>
      <c r="I18" s="121"/>
      <c r="J18" s="121"/>
      <c r="K18" s="122"/>
    </row>
    <row r="19" spans="1:11" x14ac:dyDescent="0.3">
      <c r="A19" s="60"/>
      <c r="B19" s="270" t="s">
        <v>20</v>
      </c>
      <c r="C19" s="271"/>
      <c r="D19" s="271"/>
      <c r="E19" s="272"/>
      <c r="F19" s="12">
        <v>5630</v>
      </c>
      <c r="G19" s="120" t="s">
        <v>21</v>
      </c>
      <c r="H19" s="121"/>
      <c r="I19" s="121"/>
      <c r="J19" s="121"/>
      <c r="K19" s="122"/>
    </row>
    <row r="20" spans="1:11" ht="32.4" customHeight="1" x14ac:dyDescent="0.3">
      <c r="A20" s="60"/>
      <c r="B20" s="270" t="s">
        <v>12</v>
      </c>
      <c r="C20" s="271"/>
      <c r="D20" s="271"/>
      <c r="E20" s="272"/>
      <c r="F20" s="12">
        <v>38966.400000000001</v>
      </c>
      <c r="G20" s="120" t="s">
        <v>22</v>
      </c>
      <c r="H20" s="121"/>
      <c r="I20" s="121"/>
      <c r="J20" s="121"/>
      <c r="K20" s="122"/>
    </row>
    <row r="21" spans="1:11" ht="31.95" customHeight="1" x14ac:dyDescent="0.3">
      <c r="A21" s="60"/>
      <c r="B21" s="270" t="s">
        <v>23</v>
      </c>
      <c r="C21" s="271"/>
      <c r="D21" s="271"/>
      <c r="E21" s="272"/>
      <c r="F21" s="12">
        <v>73483</v>
      </c>
      <c r="G21" s="120" t="s">
        <v>24</v>
      </c>
      <c r="H21" s="121"/>
      <c r="I21" s="121"/>
      <c r="J21" s="121"/>
      <c r="K21" s="122"/>
    </row>
    <row r="22" spans="1:11" ht="46.95" customHeight="1" x14ac:dyDescent="0.3">
      <c r="A22" s="60"/>
      <c r="B22" s="270" t="s">
        <v>16</v>
      </c>
      <c r="C22" s="271"/>
      <c r="D22" s="271"/>
      <c r="E22" s="272"/>
      <c r="F22" s="12">
        <v>140800</v>
      </c>
      <c r="G22" s="120" t="s">
        <v>25</v>
      </c>
      <c r="H22" s="121"/>
      <c r="I22" s="121"/>
      <c r="J22" s="121"/>
      <c r="K22" s="122"/>
    </row>
    <row r="23" spans="1:11" ht="32.4" customHeight="1" x14ac:dyDescent="0.3">
      <c r="A23" s="6" t="s">
        <v>26</v>
      </c>
      <c r="B23" s="273" t="s">
        <v>27</v>
      </c>
      <c r="C23" s="274"/>
      <c r="D23" s="274"/>
      <c r="E23" s="275"/>
      <c r="F23" s="7">
        <f>SUM(F24:F27)</f>
        <v>307365.40000000002</v>
      </c>
      <c r="G23" s="267"/>
      <c r="H23" s="268"/>
      <c r="I23" s="268"/>
      <c r="J23" s="268"/>
      <c r="K23" s="269"/>
    </row>
    <row r="24" spans="1:11" ht="32.4" customHeight="1" x14ac:dyDescent="0.3">
      <c r="A24" s="60"/>
      <c r="B24" s="270" t="s">
        <v>16</v>
      </c>
      <c r="C24" s="271"/>
      <c r="D24" s="271"/>
      <c r="E24" s="272"/>
      <c r="F24" s="12">
        <v>85880</v>
      </c>
      <c r="G24" s="279" t="s">
        <v>28</v>
      </c>
      <c r="H24" s="280"/>
      <c r="I24" s="280"/>
      <c r="J24" s="280"/>
      <c r="K24" s="281"/>
    </row>
    <row r="25" spans="1:11" ht="32.4" customHeight="1" x14ac:dyDescent="0.3">
      <c r="A25" s="60"/>
      <c r="B25" s="270" t="s">
        <v>16</v>
      </c>
      <c r="C25" s="271"/>
      <c r="D25" s="271"/>
      <c r="E25" s="272"/>
      <c r="F25" s="12">
        <v>52122.400000000001</v>
      </c>
      <c r="G25" s="279" t="s">
        <v>29</v>
      </c>
      <c r="H25" s="280"/>
      <c r="I25" s="280"/>
      <c r="J25" s="280"/>
      <c r="K25" s="281"/>
    </row>
    <row r="26" spans="1:11" ht="31.2" customHeight="1" x14ac:dyDescent="0.3">
      <c r="A26" s="60"/>
      <c r="B26" s="270" t="s">
        <v>30</v>
      </c>
      <c r="C26" s="271"/>
      <c r="D26" s="271"/>
      <c r="E26" s="272"/>
      <c r="F26" s="9">
        <v>125922</v>
      </c>
      <c r="G26" s="279" t="s">
        <v>31</v>
      </c>
      <c r="H26" s="280"/>
      <c r="I26" s="280"/>
      <c r="J26" s="280"/>
      <c r="K26" s="281"/>
    </row>
    <row r="27" spans="1:11" ht="18.600000000000001" customHeight="1" x14ac:dyDescent="0.3">
      <c r="A27" s="60"/>
      <c r="B27" s="270" t="s">
        <v>16</v>
      </c>
      <c r="C27" s="271"/>
      <c r="D27" s="271"/>
      <c r="E27" s="272"/>
      <c r="F27" s="12">
        <v>43441</v>
      </c>
      <c r="G27" s="120" t="s">
        <v>32</v>
      </c>
      <c r="H27" s="121"/>
      <c r="I27" s="121"/>
      <c r="J27" s="121"/>
      <c r="K27" s="122"/>
    </row>
    <row r="28" spans="1:11" s="11" customFormat="1" ht="14.4" customHeight="1" x14ac:dyDescent="0.3">
      <c r="A28" s="6" t="s">
        <v>33</v>
      </c>
      <c r="B28" s="273" t="s">
        <v>34</v>
      </c>
      <c r="C28" s="274"/>
      <c r="D28" s="274"/>
      <c r="E28" s="275"/>
      <c r="F28" s="7">
        <f>SUM(F29:F38)</f>
        <v>2691644</v>
      </c>
      <c r="G28" s="102" t="s">
        <v>35</v>
      </c>
      <c r="H28" s="103"/>
      <c r="I28" s="103"/>
      <c r="J28" s="103"/>
      <c r="K28" s="104"/>
    </row>
    <row r="29" spans="1:11" ht="30.6" customHeight="1" x14ac:dyDescent="0.3">
      <c r="A29" s="60"/>
      <c r="B29" s="261" t="s">
        <v>36</v>
      </c>
      <c r="C29" s="262" t="s">
        <v>36</v>
      </c>
      <c r="D29" s="262" t="s">
        <v>36</v>
      </c>
      <c r="E29" s="263"/>
      <c r="F29" s="12">
        <v>269439</v>
      </c>
      <c r="G29" s="213"/>
      <c r="H29" s="214"/>
      <c r="I29" s="214"/>
      <c r="J29" s="214"/>
      <c r="K29" s="215"/>
    </row>
    <row r="30" spans="1:11" ht="14.4" customHeight="1" x14ac:dyDescent="0.3">
      <c r="A30" s="60"/>
      <c r="B30" s="270" t="s">
        <v>37</v>
      </c>
      <c r="C30" s="271" t="s">
        <v>37</v>
      </c>
      <c r="D30" s="271" t="s">
        <v>37</v>
      </c>
      <c r="E30" s="272"/>
      <c r="F30" s="12">
        <v>36701</v>
      </c>
      <c r="G30" s="213"/>
      <c r="H30" s="214"/>
      <c r="I30" s="214"/>
      <c r="J30" s="214"/>
      <c r="K30" s="215"/>
    </row>
    <row r="31" spans="1:11" ht="14.4" customHeight="1" x14ac:dyDescent="0.3">
      <c r="A31" s="60"/>
      <c r="B31" s="270" t="s">
        <v>38</v>
      </c>
      <c r="C31" s="271" t="s">
        <v>38</v>
      </c>
      <c r="D31" s="271" t="s">
        <v>38</v>
      </c>
      <c r="E31" s="272"/>
      <c r="F31" s="12">
        <v>1976149</v>
      </c>
      <c r="G31" s="213"/>
      <c r="H31" s="214"/>
      <c r="I31" s="214"/>
      <c r="J31" s="214"/>
      <c r="K31" s="215"/>
    </row>
    <row r="32" spans="1:11" ht="14.4" customHeight="1" x14ac:dyDescent="0.3">
      <c r="A32" s="60"/>
      <c r="B32" s="270" t="s">
        <v>39</v>
      </c>
      <c r="C32" s="271" t="s">
        <v>39</v>
      </c>
      <c r="D32" s="271" t="s">
        <v>39</v>
      </c>
      <c r="E32" s="272"/>
      <c r="F32" s="12">
        <v>101848</v>
      </c>
      <c r="G32" s="213"/>
      <c r="H32" s="214"/>
      <c r="I32" s="214"/>
      <c r="J32" s="214"/>
      <c r="K32" s="215"/>
    </row>
    <row r="33" spans="1:11" ht="14.4" customHeight="1" x14ac:dyDescent="0.3">
      <c r="A33" s="60"/>
      <c r="B33" s="270" t="s">
        <v>40</v>
      </c>
      <c r="C33" s="271" t="s">
        <v>40</v>
      </c>
      <c r="D33" s="271" t="s">
        <v>40</v>
      </c>
      <c r="E33" s="272"/>
      <c r="F33" s="12">
        <v>1232</v>
      </c>
      <c r="G33" s="213"/>
      <c r="H33" s="214"/>
      <c r="I33" s="214"/>
      <c r="J33" s="214"/>
      <c r="K33" s="215"/>
    </row>
    <row r="34" spans="1:11" x14ac:dyDescent="0.3">
      <c r="A34" s="60"/>
      <c r="B34" s="276" t="s">
        <v>41</v>
      </c>
      <c r="C34" s="277" t="s">
        <v>41</v>
      </c>
      <c r="D34" s="277" t="s">
        <v>41</v>
      </c>
      <c r="E34" s="278"/>
      <c r="F34" s="12">
        <v>121844</v>
      </c>
      <c r="G34" s="213"/>
      <c r="H34" s="214"/>
      <c r="I34" s="214"/>
      <c r="J34" s="214"/>
      <c r="K34" s="215"/>
    </row>
    <row r="35" spans="1:11" ht="14.4" customHeight="1" x14ac:dyDescent="0.3">
      <c r="A35" s="60"/>
      <c r="B35" s="270" t="s">
        <v>42</v>
      </c>
      <c r="C35" s="271" t="s">
        <v>42</v>
      </c>
      <c r="D35" s="271" t="s">
        <v>42</v>
      </c>
      <c r="E35" s="272"/>
      <c r="F35" s="12">
        <v>161609</v>
      </c>
      <c r="G35" s="213"/>
      <c r="H35" s="214"/>
      <c r="I35" s="214"/>
      <c r="J35" s="214"/>
      <c r="K35" s="215"/>
    </row>
    <row r="36" spans="1:11" ht="30.75" customHeight="1" x14ac:dyDescent="0.3">
      <c r="A36" s="60"/>
      <c r="B36" s="261" t="s">
        <v>43</v>
      </c>
      <c r="C36" s="262" t="s">
        <v>43</v>
      </c>
      <c r="D36" s="262" t="s">
        <v>43</v>
      </c>
      <c r="E36" s="263"/>
      <c r="F36" s="12">
        <v>16826</v>
      </c>
      <c r="G36" s="213"/>
      <c r="H36" s="214"/>
      <c r="I36" s="214"/>
      <c r="J36" s="214"/>
      <c r="K36" s="215"/>
    </row>
    <row r="37" spans="1:11" ht="28.5" customHeight="1" x14ac:dyDescent="0.3">
      <c r="A37" s="60"/>
      <c r="B37" s="261" t="s">
        <v>44</v>
      </c>
      <c r="C37" s="262" t="s">
        <v>44</v>
      </c>
      <c r="D37" s="262" t="s">
        <v>44</v>
      </c>
      <c r="E37" s="263"/>
      <c r="F37" s="12">
        <v>5506</v>
      </c>
      <c r="G37" s="213"/>
      <c r="H37" s="214"/>
      <c r="I37" s="214"/>
      <c r="J37" s="214"/>
      <c r="K37" s="215"/>
    </row>
    <row r="38" spans="1:11" ht="30" customHeight="1" x14ac:dyDescent="0.3">
      <c r="A38" s="60"/>
      <c r="B38" s="261" t="s">
        <v>45</v>
      </c>
      <c r="C38" s="262" t="s">
        <v>45</v>
      </c>
      <c r="D38" s="262" t="s">
        <v>45</v>
      </c>
      <c r="E38" s="263"/>
      <c r="F38" s="12">
        <v>490</v>
      </c>
      <c r="G38" s="105"/>
      <c r="H38" s="106"/>
      <c r="I38" s="106"/>
      <c r="J38" s="106"/>
      <c r="K38" s="107"/>
    </row>
    <row r="39" spans="1:11" x14ac:dyDescent="0.3">
      <c r="A39" s="6" t="s">
        <v>46</v>
      </c>
      <c r="B39" s="264" t="s">
        <v>47</v>
      </c>
      <c r="C39" s="265"/>
      <c r="D39" s="265"/>
      <c r="E39" s="266"/>
      <c r="F39" s="7">
        <f>SUM(F40)</f>
        <v>519.20000000000005</v>
      </c>
      <c r="G39" s="267"/>
      <c r="H39" s="268"/>
      <c r="I39" s="268"/>
      <c r="J39" s="268"/>
      <c r="K39" s="269"/>
    </row>
    <row r="40" spans="1:11" x14ac:dyDescent="0.3">
      <c r="A40" s="60"/>
      <c r="B40" s="270" t="s">
        <v>48</v>
      </c>
      <c r="C40" s="271"/>
      <c r="D40" s="271"/>
      <c r="E40" s="272"/>
      <c r="F40" s="12">
        <v>519.20000000000005</v>
      </c>
      <c r="G40" s="120" t="s">
        <v>296</v>
      </c>
      <c r="H40" s="121"/>
      <c r="I40" s="121"/>
      <c r="J40" s="121"/>
      <c r="K40" s="122"/>
    </row>
    <row r="41" spans="1:11" x14ac:dyDescent="0.3">
      <c r="A41" s="235" t="s">
        <v>49</v>
      </c>
      <c r="B41" s="236"/>
      <c r="C41" s="236"/>
      <c r="D41" s="236"/>
      <c r="E41" s="14"/>
      <c r="F41" s="7">
        <f>SUM(F9,F11,F13,F23,F28,F39)</f>
        <v>3456680.3000000003</v>
      </c>
      <c r="G41" s="238"/>
      <c r="H41" s="239"/>
      <c r="I41" s="239"/>
      <c r="J41" s="239"/>
      <c r="K41" s="240"/>
    </row>
    <row r="42" spans="1:11" x14ac:dyDescent="0.3">
      <c r="A42" s="61"/>
      <c r="B42" s="61"/>
      <c r="C42" s="61"/>
      <c r="D42" s="61"/>
      <c r="E42" s="61"/>
      <c r="F42" s="62"/>
      <c r="G42" s="63"/>
      <c r="H42" s="63"/>
      <c r="I42" s="63"/>
      <c r="J42" s="63"/>
      <c r="K42" s="63"/>
    </row>
    <row r="43" spans="1:11" x14ac:dyDescent="0.3">
      <c r="B43" s="2"/>
    </row>
    <row r="44" spans="1:11" ht="32.25" customHeight="1" x14ac:dyDescent="0.3">
      <c r="A44" s="231" t="s">
        <v>50</v>
      </c>
      <c r="B44" s="231"/>
      <c r="C44" s="231"/>
      <c r="D44" s="231"/>
      <c r="E44" s="231"/>
      <c r="F44" s="231"/>
      <c r="G44" s="231"/>
      <c r="H44" s="231"/>
      <c r="I44" s="231"/>
      <c r="J44" s="231"/>
    </row>
    <row r="45" spans="1:11" x14ac:dyDescent="0.3">
      <c r="B45" s="2"/>
    </row>
    <row r="46" spans="1:11" ht="28.8" x14ac:dyDescent="0.3">
      <c r="A46" s="108" t="s">
        <v>51</v>
      </c>
      <c r="B46" s="109"/>
      <c r="C46" s="109"/>
      <c r="D46" s="109"/>
      <c r="E46" s="4"/>
      <c r="F46" s="15" t="s">
        <v>4</v>
      </c>
      <c r="G46" s="15" t="s">
        <v>52</v>
      </c>
      <c r="H46" s="111" t="s">
        <v>5</v>
      </c>
      <c r="I46" s="112"/>
      <c r="J46" s="112"/>
      <c r="K46" s="113"/>
    </row>
    <row r="47" spans="1:11" x14ac:dyDescent="0.3">
      <c r="A47" s="114" t="s">
        <v>53</v>
      </c>
      <c r="B47" s="115"/>
      <c r="C47" s="115"/>
      <c r="D47" s="115"/>
      <c r="E47" s="116"/>
      <c r="F47" s="16">
        <f>SUM(F48:F48)</f>
        <v>490</v>
      </c>
      <c r="G47" s="17"/>
      <c r="H47" s="18"/>
      <c r="I47" s="18"/>
      <c r="J47" s="18"/>
      <c r="K47" s="19"/>
    </row>
    <row r="48" spans="1:11" x14ac:dyDescent="0.3">
      <c r="A48" s="20" t="s">
        <v>54</v>
      </c>
      <c r="B48" s="232" t="s">
        <v>55</v>
      </c>
      <c r="C48" s="233"/>
      <c r="D48" s="233"/>
      <c r="E48" s="234"/>
      <c r="F48" s="12">
        <v>490</v>
      </c>
      <c r="G48" s="21">
        <v>55</v>
      </c>
      <c r="H48" s="120" t="s">
        <v>56</v>
      </c>
      <c r="I48" s="121"/>
      <c r="J48" s="121"/>
      <c r="K48" s="122"/>
    </row>
    <row r="49" spans="1:11" x14ac:dyDescent="0.3">
      <c r="A49" s="22" t="s">
        <v>57</v>
      </c>
      <c r="B49" s="23"/>
      <c r="C49" s="24"/>
      <c r="D49" s="24"/>
      <c r="E49" s="24"/>
      <c r="F49" s="16">
        <f>SUM(F50:F51)</f>
        <v>87112</v>
      </c>
      <c r="G49" s="17"/>
      <c r="H49" s="18"/>
      <c r="I49" s="18"/>
      <c r="J49" s="18"/>
      <c r="K49" s="19"/>
    </row>
    <row r="50" spans="1:11" ht="43.95" customHeight="1" x14ac:dyDescent="0.3">
      <c r="A50" s="159" t="s">
        <v>58</v>
      </c>
      <c r="B50" s="176" t="s">
        <v>59</v>
      </c>
      <c r="C50" s="177"/>
      <c r="D50" s="177"/>
      <c r="E50" s="178"/>
      <c r="F50" s="25">
        <v>1232</v>
      </c>
      <c r="G50" s="26">
        <v>15</v>
      </c>
      <c r="H50" s="138" t="s">
        <v>60</v>
      </c>
      <c r="I50" s="139"/>
      <c r="J50" s="139"/>
      <c r="K50" s="140"/>
    </row>
    <row r="51" spans="1:11" ht="30" customHeight="1" x14ac:dyDescent="0.3">
      <c r="A51" s="160"/>
      <c r="B51" s="179"/>
      <c r="C51" s="180"/>
      <c r="D51" s="180"/>
      <c r="E51" s="181"/>
      <c r="F51" s="25">
        <v>85880</v>
      </c>
      <c r="G51" s="27">
        <v>15</v>
      </c>
      <c r="H51" s="138" t="s">
        <v>28</v>
      </c>
      <c r="I51" s="139"/>
      <c r="J51" s="139"/>
      <c r="K51" s="140"/>
    </row>
    <row r="52" spans="1:11" ht="17.399999999999999" customHeight="1" x14ac:dyDescent="0.3">
      <c r="A52" s="114" t="s">
        <v>61</v>
      </c>
      <c r="B52" s="115"/>
      <c r="C52" s="115"/>
      <c r="D52" s="115"/>
      <c r="E52" s="116"/>
      <c r="F52" s="16">
        <f>SUM(F53)</f>
        <v>125922</v>
      </c>
      <c r="G52" s="17"/>
      <c r="H52" s="18"/>
      <c r="I52" s="18"/>
      <c r="J52" s="18"/>
      <c r="K52" s="19"/>
    </row>
    <row r="53" spans="1:11" ht="30" customHeight="1" x14ac:dyDescent="0.3">
      <c r="A53" s="28" t="s">
        <v>62</v>
      </c>
      <c r="B53" s="245" t="s">
        <v>63</v>
      </c>
      <c r="C53" s="246"/>
      <c r="D53" s="246"/>
      <c r="E53" s="247"/>
      <c r="F53" s="25">
        <v>125922</v>
      </c>
      <c r="G53" s="26">
        <v>15</v>
      </c>
      <c r="H53" s="138" t="s">
        <v>64</v>
      </c>
      <c r="I53" s="139"/>
      <c r="J53" s="139"/>
      <c r="K53" s="140"/>
    </row>
    <row r="54" spans="1:11" s="29" customFormat="1" ht="30" customHeight="1" x14ac:dyDescent="0.3">
      <c r="A54" s="114" t="s">
        <v>65</v>
      </c>
      <c r="B54" s="115"/>
      <c r="C54" s="115"/>
      <c r="D54" s="115"/>
      <c r="E54" s="116"/>
      <c r="F54" s="16">
        <f>SUM(F55:F56)</f>
        <v>184241</v>
      </c>
      <c r="G54" s="17"/>
      <c r="H54" s="18"/>
      <c r="I54" s="18"/>
      <c r="J54" s="18"/>
      <c r="K54" s="19"/>
    </row>
    <row r="55" spans="1:11" s="29" customFormat="1" ht="49.2" customHeight="1" x14ac:dyDescent="0.3">
      <c r="A55" s="28" t="s">
        <v>66</v>
      </c>
      <c r="B55" s="245" t="s">
        <v>67</v>
      </c>
      <c r="C55" s="246"/>
      <c r="D55" s="246"/>
      <c r="E55" s="247"/>
      <c r="F55" s="25">
        <v>140800</v>
      </c>
      <c r="G55" s="26">
        <v>55</v>
      </c>
      <c r="H55" s="138" t="s">
        <v>306</v>
      </c>
      <c r="I55" s="139"/>
      <c r="J55" s="139"/>
      <c r="K55" s="140"/>
    </row>
    <row r="56" spans="1:11" s="29" customFormat="1" x14ac:dyDescent="0.3">
      <c r="A56" s="38" t="s">
        <v>68</v>
      </c>
      <c r="B56" s="232" t="s">
        <v>69</v>
      </c>
      <c r="C56" s="233"/>
      <c r="D56" s="233"/>
      <c r="E56" s="234"/>
      <c r="F56" s="30">
        <v>43441</v>
      </c>
      <c r="G56" s="31">
        <v>45</v>
      </c>
      <c r="H56" s="120" t="s">
        <v>70</v>
      </c>
      <c r="I56" s="121"/>
      <c r="J56" s="121"/>
      <c r="K56" s="122"/>
    </row>
    <row r="57" spans="1:11" s="29" customFormat="1" x14ac:dyDescent="0.3">
      <c r="A57" s="114" t="s">
        <v>71</v>
      </c>
      <c r="B57" s="115"/>
      <c r="C57" s="115"/>
      <c r="D57" s="115"/>
      <c r="E57" s="116"/>
      <c r="F57" s="16">
        <f>SUM(F58)</f>
        <v>519.20000000000005</v>
      </c>
      <c r="G57" s="17"/>
      <c r="H57" s="18"/>
      <c r="I57" s="18"/>
      <c r="J57" s="18"/>
      <c r="K57" s="19"/>
    </row>
    <row r="58" spans="1:11" s="29" customFormat="1" x14ac:dyDescent="0.3">
      <c r="A58" s="28" t="s">
        <v>72</v>
      </c>
      <c r="B58" s="245" t="s">
        <v>73</v>
      </c>
      <c r="C58" s="246"/>
      <c r="D58" s="246"/>
      <c r="E58" s="247"/>
      <c r="F58" s="25">
        <v>519.20000000000005</v>
      </c>
      <c r="G58" s="26">
        <v>55</v>
      </c>
      <c r="H58" s="138" t="s">
        <v>296</v>
      </c>
      <c r="I58" s="139"/>
      <c r="J58" s="139"/>
      <c r="K58" s="140"/>
    </row>
    <row r="59" spans="1:11" x14ac:dyDescent="0.3">
      <c r="A59" s="114" t="s">
        <v>74</v>
      </c>
      <c r="B59" s="115"/>
      <c r="C59" s="115"/>
      <c r="D59" s="115"/>
      <c r="E59" s="32"/>
      <c r="F59" s="16">
        <f>SUM(F60:F76)</f>
        <v>100274.53</v>
      </c>
      <c r="G59" s="17"/>
      <c r="H59" s="18"/>
      <c r="I59" s="18"/>
      <c r="J59" s="18"/>
      <c r="K59" s="19"/>
    </row>
    <row r="60" spans="1:11" ht="15" customHeight="1" x14ac:dyDescent="0.3">
      <c r="A60" s="159" t="s">
        <v>75</v>
      </c>
      <c r="B60" s="176" t="s">
        <v>76</v>
      </c>
      <c r="C60" s="177"/>
      <c r="D60" s="177"/>
      <c r="E60" s="178"/>
      <c r="F60" s="12">
        <v>500</v>
      </c>
      <c r="G60" s="21">
        <v>50</v>
      </c>
      <c r="H60" s="102" t="s">
        <v>77</v>
      </c>
      <c r="I60" s="103"/>
      <c r="J60" s="103"/>
      <c r="K60" s="104"/>
    </row>
    <row r="61" spans="1:11" ht="15" customHeight="1" x14ac:dyDescent="0.3">
      <c r="A61" s="160"/>
      <c r="B61" s="179"/>
      <c r="C61" s="180"/>
      <c r="D61" s="180"/>
      <c r="E61" s="181"/>
      <c r="F61" s="12">
        <v>500</v>
      </c>
      <c r="G61" s="21">
        <v>55</v>
      </c>
      <c r="H61" s="213"/>
      <c r="I61" s="214"/>
      <c r="J61" s="214"/>
      <c r="K61" s="215"/>
    </row>
    <row r="62" spans="1:11" ht="15" customHeight="1" x14ac:dyDescent="0.3">
      <c r="A62" s="159" t="s">
        <v>78</v>
      </c>
      <c r="B62" s="176" t="s">
        <v>79</v>
      </c>
      <c r="C62" s="177"/>
      <c r="D62" s="177"/>
      <c r="E62" s="178"/>
      <c r="F62" s="12">
        <v>1000</v>
      </c>
      <c r="G62" s="21">
        <v>50</v>
      </c>
      <c r="H62" s="213"/>
      <c r="I62" s="214"/>
      <c r="J62" s="214"/>
      <c r="K62" s="215"/>
    </row>
    <row r="63" spans="1:11" ht="15" customHeight="1" x14ac:dyDescent="0.3">
      <c r="A63" s="160"/>
      <c r="B63" s="179"/>
      <c r="C63" s="180"/>
      <c r="D63" s="180"/>
      <c r="E63" s="181"/>
      <c r="F63" s="12">
        <v>2500</v>
      </c>
      <c r="G63" s="21">
        <v>55</v>
      </c>
      <c r="H63" s="213"/>
      <c r="I63" s="214"/>
      <c r="J63" s="214"/>
      <c r="K63" s="215"/>
    </row>
    <row r="64" spans="1:11" ht="15" customHeight="1" x14ac:dyDescent="0.3">
      <c r="A64" s="159" t="s">
        <v>80</v>
      </c>
      <c r="B64" s="176" t="s">
        <v>81</v>
      </c>
      <c r="C64" s="177"/>
      <c r="D64" s="177"/>
      <c r="E64" s="178"/>
      <c r="F64" s="12">
        <v>500</v>
      </c>
      <c r="G64" s="21">
        <v>50</v>
      </c>
      <c r="H64" s="213"/>
      <c r="I64" s="214"/>
      <c r="J64" s="214"/>
      <c r="K64" s="215"/>
    </row>
    <row r="65" spans="1:11" ht="15" customHeight="1" x14ac:dyDescent="0.3">
      <c r="A65" s="160"/>
      <c r="B65" s="179"/>
      <c r="C65" s="180"/>
      <c r="D65" s="180"/>
      <c r="E65" s="181"/>
      <c r="F65" s="12">
        <v>500</v>
      </c>
      <c r="G65" s="21">
        <v>55</v>
      </c>
      <c r="H65" s="213"/>
      <c r="I65" s="214"/>
      <c r="J65" s="214"/>
      <c r="K65" s="215"/>
    </row>
    <row r="66" spans="1:11" ht="14.4" customHeight="1" x14ac:dyDescent="0.3">
      <c r="A66" s="33" t="s">
        <v>82</v>
      </c>
      <c r="B66" s="176" t="s">
        <v>83</v>
      </c>
      <c r="C66" s="177"/>
      <c r="D66" s="177"/>
      <c r="E66" s="178"/>
      <c r="F66" s="12">
        <v>3000</v>
      </c>
      <c r="G66" s="21">
        <v>55</v>
      </c>
      <c r="H66" s="213"/>
      <c r="I66" s="214"/>
      <c r="J66" s="214"/>
      <c r="K66" s="215"/>
    </row>
    <row r="67" spans="1:11" ht="14.4" customHeight="1" x14ac:dyDescent="0.3">
      <c r="A67" s="159" t="s">
        <v>84</v>
      </c>
      <c r="B67" s="176" t="s">
        <v>85</v>
      </c>
      <c r="C67" s="177"/>
      <c r="D67" s="177"/>
      <c r="E67" s="178"/>
      <c r="F67" s="12">
        <v>1071</v>
      </c>
      <c r="G67" s="21">
        <v>50</v>
      </c>
      <c r="H67" s="213"/>
      <c r="I67" s="214"/>
      <c r="J67" s="214"/>
      <c r="K67" s="215"/>
    </row>
    <row r="68" spans="1:11" x14ac:dyDescent="0.3">
      <c r="A68" s="160"/>
      <c r="B68" s="179"/>
      <c r="C68" s="180"/>
      <c r="D68" s="180"/>
      <c r="E68" s="181"/>
      <c r="F68" s="12">
        <v>2429</v>
      </c>
      <c r="G68" s="21">
        <v>55</v>
      </c>
      <c r="H68" s="105"/>
      <c r="I68" s="106"/>
      <c r="J68" s="106"/>
      <c r="K68" s="107"/>
    </row>
    <row r="69" spans="1:11" ht="14.4" customHeight="1" x14ac:dyDescent="0.3">
      <c r="A69" s="60" t="s">
        <v>86</v>
      </c>
      <c r="B69" s="245" t="s">
        <v>87</v>
      </c>
      <c r="C69" s="246"/>
      <c r="D69" s="246"/>
      <c r="E69" s="247"/>
      <c r="F69" s="12">
        <v>4430</v>
      </c>
      <c r="G69" s="21">
        <v>55</v>
      </c>
      <c r="H69" s="102" t="s">
        <v>88</v>
      </c>
      <c r="I69" s="103"/>
      <c r="J69" s="103"/>
      <c r="K69" s="104"/>
    </row>
    <row r="70" spans="1:11" ht="14.4" customHeight="1" x14ac:dyDescent="0.3">
      <c r="A70" s="60" t="s">
        <v>89</v>
      </c>
      <c r="B70" s="245" t="s">
        <v>90</v>
      </c>
      <c r="C70" s="246"/>
      <c r="D70" s="246"/>
      <c r="E70" s="247"/>
      <c r="F70" s="12">
        <v>1200</v>
      </c>
      <c r="G70" s="21">
        <v>55</v>
      </c>
      <c r="H70" s="105"/>
      <c r="I70" s="106"/>
      <c r="J70" s="106"/>
      <c r="K70" s="107"/>
    </row>
    <row r="71" spans="1:11" ht="14.4" customHeight="1" x14ac:dyDescent="0.3">
      <c r="A71" s="33" t="s">
        <v>91</v>
      </c>
      <c r="B71" s="176" t="s">
        <v>92</v>
      </c>
      <c r="C71" s="177"/>
      <c r="D71" s="177"/>
      <c r="E71" s="178"/>
      <c r="F71" s="12">
        <v>1000</v>
      </c>
      <c r="G71" s="21">
        <v>55</v>
      </c>
      <c r="H71" s="102" t="s">
        <v>77</v>
      </c>
      <c r="I71" s="103"/>
      <c r="J71" s="103"/>
      <c r="K71" s="104"/>
    </row>
    <row r="72" spans="1:11" ht="14.4" customHeight="1" x14ac:dyDescent="0.3">
      <c r="A72" s="159" t="s">
        <v>93</v>
      </c>
      <c r="B72" s="176" t="s">
        <v>94</v>
      </c>
      <c r="C72" s="177"/>
      <c r="D72" s="177"/>
      <c r="E72" s="178"/>
      <c r="F72" s="12">
        <v>500</v>
      </c>
      <c r="G72" s="21">
        <v>50</v>
      </c>
      <c r="H72" s="213"/>
      <c r="I72" s="214"/>
      <c r="J72" s="214"/>
      <c r="K72" s="215"/>
    </row>
    <row r="73" spans="1:11" ht="14.4" customHeight="1" x14ac:dyDescent="0.3">
      <c r="A73" s="160"/>
      <c r="B73" s="179"/>
      <c r="C73" s="180"/>
      <c r="D73" s="180"/>
      <c r="E73" s="181"/>
      <c r="F73" s="12">
        <v>500</v>
      </c>
      <c r="G73" s="21">
        <v>55</v>
      </c>
      <c r="H73" s="213"/>
      <c r="I73" s="214"/>
      <c r="J73" s="214"/>
      <c r="K73" s="215"/>
    </row>
    <row r="74" spans="1:11" ht="14.4" customHeight="1" x14ac:dyDescent="0.3">
      <c r="A74" s="33" t="s">
        <v>95</v>
      </c>
      <c r="B74" s="176" t="s">
        <v>96</v>
      </c>
      <c r="C74" s="177"/>
      <c r="D74" s="177"/>
      <c r="E74" s="178"/>
      <c r="F74" s="12">
        <f>1000+1000</f>
        <v>2000</v>
      </c>
      <c r="G74" s="21">
        <v>55</v>
      </c>
      <c r="H74" s="213"/>
      <c r="I74" s="214"/>
      <c r="J74" s="214"/>
      <c r="K74" s="215"/>
    </row>
    <row r="75" spans="1:11" ht="15" customHeight="1" x14ac:dyDescent="0.3">
      <c r="A75" s="159" t="s">
        <v>97</v>
      </c>
      <c r="B75" s="176" t="s">
        <v>98</v>
      </c>
      <c r="C75" s="177"/>
      <c r="D75" s="177"/>
      <c r="E75" s="178"/>
      <c r="F75" s="12">
        <v>8000</v>
      </c>
      <c r="G75" s="21">
        <v>50</v>
      </c>
      <c r="H75" s="213"/>
      <c r="I75" s="214"/>
      <c r="J75" s="214"/>
      <c r="K75" s="215"/>
    </row>
    <row r="76" spans="1:11" x14ac:dyDescent="0.3">
      <c r="A76" s="160"/>
      <c r="B76" s="179"/>
      <c r="C76" s="180"/>
      <c r="D76" s="180"/>
      <c r="E76" s="181"/>
      <c r="F76" s="12">
        <f>6500+15000+13700+15000+20000+444.53</f>
        <v>70644.53</v>
      </c>
      <c r="G76" s="21">
        <v>55</v>
      </c>
      <c r="H76" s="105"/>
      <c r="I76" s="106"/>
      <c r="J76" s="106"/>
      <c r="K76" s="107"/>
    </row>
    <row r="77" spans="1:11" x14ac:dyDescent="0.3">
      <c r="A77" s="114" t="s">
        <v>99</v>
      </c>
      <c r="B77" s="115"/>
      <c r="C77" s="115"/>
      <c r="D77" s="115"/>
      <c r="E77" s="32"/>
      <c r="F77" s="16">
        <f>SUM(F78:F106)</f>
        <v>2284933.6999999997</v>
      </c>
      <c r="G77" s="17"/>
      <c r="H77" s="18"/>
      <c r="I77" s="18"/>
      <c r="J77" s="18"/>
      <c r="K77" s="19"/>
    </row>
    <row r="78" spans="1:11" ht="17.399999999999999" customHeight="1" x14ac:dyDescent="0.3">
      <c r="A78" s="60" t="s">
        <v>100</v>
      </c>
      <c r="B78" s="232" t="s">
        <v>101</v>
      </c>
      <c r="C78" s="233"/>
      <c r="D78" s="233"/>
      <c r="E78" s="234"/>
      <c r="F78" s="12">
        <v>21470</v>
      </c>
      <c r="G78" s="21">
        <v>50</v>
      </c>
      <c r="H78" s="102" t="s">
        <v>102</v>
      </c>
      <c r="I78" s="103"/>
      <c r="J78" s="103"/>
      <c r="K78" s="104"/>
    </row>
    <row r="79" spans="1:11" ht="19.95" customHeight="1" x14ac:dyDescent="0.3">
      <c r="A79" s="60" t="s">
        <v>103</v>
      </c>
      <c r="B79" s="232" t="s">
        <v>104</v>
      </c>
      <c r="C79" s="233"/>
      <c r="D79" s="233"/>
      <c r="E79" s="234"/>
      <c r="F79" s="12">
        <v>12927</v>
      </c>
      <c r="G79" s="21">
        <v>50</v>
      </c>
      <c r="H79" s="105"/>
      <c r="I79" s="106"/>
      <c r="J79" s="106"/>
      <c r="K79" s="107"/>
    </row>
    <row r="80" spans="1:11" ht="29.4" customHeight="1" x14ac:dyDescent="0.3">
      <c r="A80" s="33" t="s">
        <v>105</v>
      </c>
      <c r="B80" s="170" t="s">
        <v>106</v>
      </c>
      <c r="C80" s="171"/>
      <c r="D80" s="171"/>
      <c r="E80" s="172"/>
      <c r="F80" s="12">
        <v>52122.400000000001</v>
      </c>
      <c r="G80" s="21">
        <v>15</v>
      </c>
      <c r="H80" s="167" t="s">
        <v>107</v>
      </c>
      <c r="I80" s="168"/>
      <c r="J80" s="168"/>
      <c r="K80" s="169"/>
    </row>
    <row r="81" spans="1:11" ht="15" customHeight="1" x14ac:dyDescent="0.3">
      <c r="A81" s="60" t="s">
        <v>108</v>
      </c>
      <c r="B81" s="232" t="s">
        <v>109</v>
      </c>
      <c r="C81" s="233"/>
      <c r="D81" s="233"/>
      <c r="E81" s="234"/>
      <c r="F81" s="12">
        <v>66680</v>
      </c>
      <c r="G81" s="21">
        <v>50</v>
      </c>
      <c r="H81" s="102" t="s">
        <v>102</v>
      </c>
      <c r="I81" s="103"/>
      <c r="J81" s="103"/>
      <c r="K81" s="104"/>
    </row>
    <row r="82" spans="1:11" ht="15" customHeight="1" x14ac:dyDescent="0.3">
      <c r="A82" s="60" t="s">
        <v>110</v>
      </c>
      <c r="B82" s="232" t="s">
        <v>111</v>
      </c>
      <c r="C82" s="233"/>
      <c r="D82" s="233"/>
      <c r="E82" s="234"/>
      <c r="F82" s="12">
        <v>4976</v>
      </c>
      <c r="G82" s="21">
        <v>50</v>
      </c>
      <c r="H82" s="105"/>
      <c r="I82" s="106"/>
      <c r="J82" s="106"/>
      <c r="K82" s="107"/>
    </row>
    <row r="83" spans="1:11" ht="33" customHeight="1" x14ac:dyDescent="0.3">
      <c r="A83" s="37" t="s">
        <v>112</v>
      </c>
      <c r="B83" s="170" t="s">
        <v>113</v>
      </c>
      <c r="C83" s="171"/>
      <c r="D83" s="171"/>
      <c r="E83" s="172"/>
      <c r="F83" s="12">
        <v>2697</v>
      </c>
      <c r="G83" s="21">
        <v>50</v>
      </c>
      <c r="H83" s="102" t="s">
        <v>114</v>
      </c>
      <c r="I83" s="103"/>
      <c r="J83" s="103"/>
      <c r="K83" s="104"/>
    </row>
    <row r="84" spans="1:11" ht="15" customHeight="1" x14ac:dyDescent="0.3">
      <c r="A84" s="159" t="s">
        <v>115</v>
      </c>
      <c r="B84" s="170" t="s">
        <v>116</v>
      </c>
      <c r="C84" s="171"/>
      <c r="D84" s="171"/>
      <c r="E84" s="172"/>
      <c r="F84" s="12">
        <f>1000+115891+7594</f>
        <v>124485</v>
      </c>
      <c r="G84" s="21">
        <v>50</v>
      </c>
      <c r="H84" s="102" t="s">
        <v>117</v>
      </c>
      <c r="I84" s="103"/>
      <c r="J84" s="103"/>
      <c r="K84" s="104"/>
    </row>
    <row r="85" spans="1:11" x14ac:dyDescent="0.3">
      <c r="A85" s="160"/>
      <c r="B85" s="173"/>
      <c r="C85" s="174"/>
      <c r="D85" s="174"/>
      <c r="E85" s="175"/>
      <c r="F85" s="34">
        <f>1500+7468</f>
        <v>8968</v>
      </c>
      <c r="G85" s="35">
        <v>55</v>
      </c>
      <c r="H85" s="213"/>
      <c r="I85" s="214"/>
      <c r="J85" s="214"/>
      <c r="K85" s="215"/>
    </row>
    <row r="86" spans="1:11" ht="15" customHeight="1" x14ac:dyDescent="0.3">
      <c r="A86" s="159" t="s">
        <v>118</v>
      </c>
      <c r="B86" s="170" t="s">
        <v>119</v>
      </c>
      <c r="C86" s="171"/>
      <c r="D86" s="171"/>
      <c r="E86" s="172"/>
      <c r="F86" s="12">
        <f>1250+142001+9575</f>
        <v>152826</v>
      </c>
      <c r="G86" s="21">
        <v>50</v>
      </c>
      <c r="H86" s="213"/>
      <c r="I86" s="214"/>
      <c r="J86" s="214"/>
      <c r="K86" s="215"/>
    </row>
    <row r="87" spans="1:11" x14ac:dyDescent="0.3">
      <c r="A87" s="160"/>
      <c r="B87" s="173"/>
      <c r="C87" s="174"/>
      <c r="D87" s="174"/>
      <c r="E87" s="175"/>
      <c r="F87" s="34">
        <f>1250+3373</f>
        <v>4623</v>
      </c>
      <c r="G87" s="35">
        <v>55</v>
      </c>
      <c r="H87" s="105"/>
      <c r="I87" s="106"/>
      <c r="J87" s="106"/>
      <c r="K87" s="107"/>
    </row>
    <row r="88" spans="1:11" ht="26.4" customHeight="1" x14ac:dyDescent="0.3">
      <c r="A88" s="37" t="s">
        <v>120</v>
      </c>
      <c r="B88" s="170" t="s">
        <v>121</v>
      </c>
      <c r="C88" s="171"/>
      <c r="D88" s="171"/>
      <c r="E88" s="172"/>
      <c r="F88" s="12">
        <v>11784</v>
      </c>
      <c r="G88" s="21">
        <v>50</v>
      </c>
      <c r="H88" s="102" t="s">
        <v>114</v>
      </c>
      <c r="I88" s="103"/>
      <c r="J88" s="103"/>
      <c r="K88" s="104"/>
    </row>
    <row r="89" spans="1:11" ht="15" customHeight="1" x14ac:dyDescent="0.3">
      <c r="A89" s="159" t="s">
        <v>122</v>
      </c>
      <c r="B89" s="170" t="s">
        <v>123</v>
      </c>
      <c r="C89" s="171"/>
      <c r="D89" s="171"/>
      <c r="E89" s="172"/>
      <c r="F89" s="9">
        <f>5000+522605+33182</f>
        <v>560787</v>
      </c>
      <c r="G89" s="21">
        <v>50</v>
      </c>
      <c r="H89" s="102" t="s">
        <v>117</v>
      </c>
      <c r="I89" s="103"/>
      <c r="J89" s="103"/>
      <c r="K89" s="104"/>
    </row>
    <row r="90" spans="1:11" ht="14.4" customHeight="1" x14ac:dyDescent="0.3">
      <c r="A90" s="160"/>
      <c r="B90" s="173"/>
      <c r="C90" s="174"/>
      <c r="D90" s="174"/>
      <c r="E90" s="175"/>
      <c r="F90" s="34">
        <f>48635</f>
        <v>48635</v>
      </c>
      <c r="G90" s="35">
        <v>55</v>
      </c>
      <c r="H90" s="213"/>
      <c r="I90" s="214"/>
      <c r="J90" s="214"/>
      <c r="K90" s="215"/>
    </row>
    <row r="91" spans="1:11" ht="15" customHeight="1" x14ac:dyDescent="0.3">
      <c r="A91" s="159" t="s">
        <v>124</v>
      </c>
      <c r="B91" s="170" t="s">
        <v>125</v>
      </c>
      <c r="C91" s="171"/>
      <c r="D91" s="171"/>
      <c r="E91" s="172"/>
      <c r="F91" s="12">
        <f>4014+721441+57287</f>
        <v>782742</v>
      </c>
      <c r="G91" s="21">
        <v>50</v>
      </c>
      <c r="H91" s="213"/>
      <c r="I91" s="214"/>
      <c r="J91" s="214"/>
      <c r="K91" s="215"/>
    </row>
    <row r="92" spans="1:11" ht="14.4" customHeight="1" x14ac:dyDescent="0.3">
      <c r="A92" s="160"/>
      <c r="B92" s="173"/>
      <c r="C92" s="174"/>
      <c r="D92" s="174"/>
      <c r="E92" s="175"/>
      <c r="F92" s="34">
        <f>986+41261</f>
        <v>42247</v>
      </c>
      <c r="G92" s="35">
        <v>55</v>
      </c>
      <c r="H92" s="105"/>
      <c r="I92" s="106"/>
      <c r="J92" s="106"/>
      <c r="K92" s="107"/>
    </row>
    <row r="93" spans="1:11" ht="29.4" customHeight="1" x14ac:dyDescent="0.3">
      <c r="A93" s="37" t="s">
        <v>126</v>
      </c>
      <c r="B93" s="170" t="s">
        <v>127</v>
      </c>
      <c r="C93" s="171"/>
      <c r="D93" s="171"/>
      <c r="E93" s="172"/>
      <c r="F93" s="12">
        <v>353</v>
      </c>
      <c r="G93" s="21">
        <v>50</v>
      </c>
      <c r="H93" s="102" t="s">
        <v>114</v>
      </c>
      <c r="I93" s="103"/>
      <c r="J93" s="103"/>
      <c r="K93" s="104"/>
    </row>
    <row r="94" spans="1:11" ht="14.4" customHeight="1" x14ac:dyDescent="0.3">
      <c r="A94" s="159" t="s">
        <v>128</v>
      </c>
      <c r="B94" s="170" t="s">
        <v>129</v>
      </c>
      <c r="C94" s="171"/>
      <c r="D94" s="171"/>
      <c r="E94" s="172"/>
      <c r="F94" s="12">
        <f>5202+14689+990</f>
        <v>20881</v>
      </c>
      <c r="G94" s="21">
        <v>50</v>
      </c>
      <c r="H94" s="205" t="s">
        <v>130</v>
      </c>
      <c r="I94" s="206"/>
      <c r="J94" s="206"/>
      <c r="K94" s="207"/>
    </row>
    <row r="95" spans="1:11" ht="14.4" customHeight="1" x14ac:dyDescent="0.3">
      <c r="A95" s="160"/>
      <c r="B95" s="173"/>
      <c r="C95" s="174"/>
      <c r="D95" s="174"/>
      <c r="E95" s="175"/>
      <c r="F95" s="34">
        <f>1000+525</f>
        <v>1525</v>
      </c>
      <c r="G95" s="35">
        <v>55</v>
      </c>
      <c r="H95" s="258"/>
      <c r="I95" s="259"/>
      <c r="J95" s="259"/>
      <c r="K95" s="260"/>
    </row>
    <row r="96" spans="1:11" ht="44.4" customHeight="1" x14ac:dyDescent="0.3">
      <c r="A96" s="60" t="s">
        <v>131</v>
      </c>
      <c r="B96" s="232" t="s">
        <v>132</v>
      </c>
      <c r="C96" s="233"/>
      <c r="D96" s="233"/>
      <c r="E96" s="234"/>
      <c r="F96" s="12">
        <f>3400+358.9</f>
        <v>3758.9</v>
      </c>
      <c r="G96" s="21">
        <v>50</v>
      </c>
      <c r="H96" s="120" t="s">
        <v>133</v>
      </c>
      <c r="I96" s="121"/>
      <c r="J96" s="121"/>
      <c r="K96" s="122"/>
    </row>
    <row r="97" spans="1:11" ht="44.4" customHeight="1" x14ac:dyDescent="0.3">
      <c r="A97" s="159" t="s">
        <v>134</v>
      </c>
      <c r="B97" s="176" t="s">
        <v>135</v>
      </c>
      <c r="C97" s="177"/>
      <c r="D97" s="177"/>
      <c r="E97" s="178"/>
      <c r="F97" s="12">
        <f>20344+401.4</f>
        <v>20745.400000000001</v>
      </c>
      <c r="G97" s="21">
        <v>50</v>
      </c>
      <c r="H97" s="102" t="s">
        <v>136</v>
      </c>
      <c r="I97" s="103"/>
      <c r="J97" s="103"/>
      <c r="K97" s="104"/>
    </row>
    <row r="98" spans="1:11" ht="40.950000000000003" customHeight="1" x14ac:dyDescent="0.3">
      <c r="A98" s="160"/>
      <c r="B98" s="179"/>
      <c r="C98" s="180"/>
      <c r="D98" s="180"/>
      <c r="E98" s="181"/>
      <c r="F98" s="12">
        <f>23480+5000</f>
        <v>28480</v>
      </c>
      <c r="G98" s="21">
        <v>55</v>
      </c>
      <c r="H98" s="102" t="s">
        <v>307</v>
      </c>
      <c r="I98" s="103"/>
      <c r="J98" s="103"/>
      <c r="K98" s="104"/>
    </row>
    <row r="99" spans="1:11" x14ac:dyDescent="0.3">
      <c r="A99" s="60" t="s">
        <v>137</v>
      </c>
      <c r="B99" s="232" t="s">
        <v>138</v>
      </c>
      <c r="C99" s="233"/>
      <c r="D99" s="233"/>
      <c r="E99" s="234"/>
      <c r="F99" s="12">
        <v>132797</v>
      </c>
      <c r="G99" s="21">
        <v>50</v>
      </c>
      <c r="H99" s="120" t="s">
        <v>139</v>
      </c>
      <c r="I99" s="121"/>
      <c r="J99" s="121"/>
      <c r="K99" s="122"/>
    </row>
    <row r="100" spans="1:11" ht="14.4" customHeight="1" x14ac:dyDescent="0.3">
      <c r="A100" s="159" t="s">
        <v>140</v>
      </c>
      <c r="B100" s="176" t="s">
        <v>141</v>
      </c>
      <c r="C100" s="177"/>
      <c r="D100" s="177"/>
      <c r="E100" s="178"/>
      <c r="F100" s="12">
        <v>48000</v>
      </c>
      <c r="G100" s="21">
        <v>50</v>
      </c>
      <c r="H100" s="205" t="s">
        <v>77</v>
      </c>
      <c r="I100" s="206"/>
      <c r="J100" s="206"/>
      <c r="K100" s="207"/>
    </row>
    <row r="101" spans="1:11" x14ac:dyDescent="0.3">
      <c r="A101" s="160"/>
      <c r="B101" s="179"/>
      <c r="C101" s="180"/>
      <c r="D101" s="180"/>
      <c r="E101" s="181"/>
      <c r="F101" s="12">
        <v>3000</v>
      </c>
      <c r="G101" s="21">
        <v>55</v>
      </c>
      <c r="H101" s="258"/>
      <c r="I101" s="259"/>
      <c r="J101" s="259"/>
      <c r="K101" s="260"/>
    </row>
    <row r="102" spans="1:11" ht="15" customHeight="1" x14ac:dyDescent="0.3">
      <c r="A102" s="60" t="s">
        <v>142</v>
      </c>
      <c r="B102" s="232" t="s">
        <v>123</v>
      </c>
      <c r="C102" s="233"/>
      <c r="D102" s="233"/>
      <c r="E102" s="234"/>
      <c r="F102" s="12">
        <v>35175</v>
      </c>
      <c r="G102" s="21">
        <v>55</v>
      </c>
      <c r="H102" s="102" t="s">
        <v>143</v>
      </c>
      <c r="I102" s="103"/>
      <c r="J102" s="103"/>
      <c r="K102" s="104"/>
    </row>
    <row r="103" spans="1:11" ht="15" customHeight="1" x14ac:dyDescent="0.3">
      <c r="A103" s="60" t="s">
        <v>144</v>
      </c>
      <c r="B103" s="232" t="s">
        <v>125</v>
      </c>
      <c r="C103" s="233"/>
      <c r="D103" s="233"/>
      <c r="E103" s="234"/>
      <c r="F103" s="12">
        <v>60725</v>
      </c>
      <c r="G103" s="21">
        <v>55</v>
      </c>
      <c r="H103" s="213"/>
      <c r="I103" s="214"/>
      <c r="J103" s="214"/>
      <c r="K103" s="215"/>
    </row>
    <row r="104" spans="1:11" ht="15" customHeight="1" x14ac:dyDescent="0.3">
      <c r="A104" s="60" t="s">
        <v>145</v>
      </c>
      <c r="B104" s="232" t="s">
        <v>119</v>
      </c>
      <c r="C104" s="233"/>
      <c r="D104" s="233"/>
      <c r="E104" s="234"/>
      <c r="F104" s="12">
        <v>6767</v>
      </c>
      <c r="G104" s="21">
        <v>55</v>
      </c>
      <c r="H104" s="213"/>
      <c r="I104" s="214"/>
      <c r="J104" s="214"/>
      <c r="K104" s="215"/>
    </row>
    <row r="105" spans="1:11" ht="15" customHeight="1" x14ac:dyDescent="0.3">
      <c r="A105" s="60" t="s">
        <v>146</v>
      </c>
      <c r="B105" s="232" t="s">
        <v>116</v>
      </c>
      <c r="C105" s="233"/>
      <c r="D105" s="233"/>
      <c r="E105" s="234"/>
      <c r="F105" s="12">
        <f>8050+1050</f>
        <v>9100</v>
      </c>
      <c r="G105" s="21">
        <v>55</v>
      </c>
      <c r="H105" s="105"/>
      <c r="I105" s="106"/>
      <c r="J105" s="106"/>
      <c r="K105" s="107"/>
    </row>
    <row r="106" spans="1:11" ht="43.2" customHeight="1" x14ac:dyDescent="0.3">
      <c r="A106" s="60" t="s">
        <v>147</v>
      </c>
      <c r="B106" s="232" t="s">
        <v>148</v>
      </c>
      <c r="C106" s="233"/>
      <c r="D106" s="233"/>
      <c r="E106" s="234"/>
      <c r="F106" s="12">
        <f>10589+5068</f>
        <v>15657</v>
      </c>
      <c r="G106" s="21">
        <v>55</v>
      </c>
      <c r="H106" s="120" t="s">
        <v>149</v>
      </c>
      <c r="I106" s="121"/>
      <c r="J106" s="121"/>
      <c r="K106" s="122"/>
    </row>
    <row r="107" spans="1:11" x14ac:dyDescent="0.3">
      <c r="A107" s="114" t="s">
        <v>150</v>
      </c>
      <c r="B107" s="115"/>
      <c r="C107" s="115"/>
      <c r="D107" s="115"/>
      <c r="E107" s="32"/>
      <c r="F107" s="16">
        <f>SUM(F108:F120)</f>
        <v>732984.4</v>
      </c>
      <c r="G107" s="17"/>
      <c r="H107" s="18"/>
      <c r="I107" s="18"/>
      <c r="J107" s="18"/>
      <c r="K107" s="19"/>
    </row>
    <row r="108" spans="1:11" ht="32.25" customHeight="1" x14ac:dyDescent="0.3">
      <c r="A108" s="159" t="s">
        <v>151</v>
      </c>
      <c r="B108" s="192" t="s">
        <v>152</v>
      </c>
      <c r="C108" s="193"/>
      <c r="D108" s="193"/>
      <c r="E108" s="194"/>
      <c r="F108" s="12">
        <v>16826</v>
      </c>
      <c r="G108" s="21">
        <v>41</v>
      </c>
      <c r="H108" s="120" t="s">
        <v>153</v>
      </c>
      <c r="I108" s="121"/>
      <c r="J108" s="121"/>
      <c r="K108" s="122"/>
    </row>
    <row r="109" spans="1:11" x14ac:dyDescent="0.3">
      <c r="A109" s="182"/>
      <c r="B109" s="255"/>
      <c r="C109" s="256"/>
      <c r="D109" s="256"/>
      <c r="E109" s="257"/>
      <c r="F109" s="12">
        <v>71323</v>
      </c>
      <c r="G109" s="21">
        <v>50</v>
      </c>
      <c r="H109" s="102" t="s">
        <v>154</v>
      </c>
      <c r="I109" s="103"/>
      <c r="J109" s="103"/>
      <c r="K109" s="104"/>
    </row>
    <row r="110" spans="1:11" x14ac:dyDescent="0.3">
      <c r="A110" s="182"/>
      <c r="B110" s="255"/>
      <c r="C110" s="256"/>
      <c r="D110" s="256"/>
      <c r="E110" s="257"/>
      <c r="F110" s="12">
        <v>2160</v>
      </c>
      <c r="G110" s="21">
        <v>55</v>
      </c>
      <c r="H110" s="105"/>
      <c r="I110" s="106"/>
      <c r="J110" s="106"/>
      <c r="K110" s="107"/>
    </row>
    <row r="111" spans="1:11" x14ac:dyDescent="0.3">
      <c r="A111" s="182"/>
      <c r="B111" s="255"/>
      <c r="C111" s="256"/>
      <c r="D111" s="256"/>
      <c r="E111" s="257"/>
      <c r="F111" s="12">
        <v>3926.4</v>
      </c>
      <c r="G111" s="21">
        <v>50</v>
      </c>
      <c r="H111" s="102" t="s">
        <v>155</v>
      </c>
      <c r="I111" s="103"/>
      <c r="J111" s="103"/>
      <c r="K111" s="104"/>
    </row>
    <row r="112" spans="1:11" x14ac:dyDescent="0.3">
      <c r="A112" s="160"/>
      <c r="B112" s="195"/>
      <c r="C112" s="196"/>
      <c r="D112" s="196"/>
      <c r="E112" s="197"/>
      <c r="F112" s="12">
        <v>35040</v>
      </c>
      <c r="G112" s="21">
        <v>55</v>
      </c>
      <c r="H112" s="105"/>
      <c r="I112" s="106"/>
      <c r="J112" s="106"/>
      <c r="K112" s="107"/>
    </row>
    <row r="113" spans="1:11" ht="18" customHeight="1" x14ac:dyDescent="0.3">
      <c r="A113" s="36" t="s">
        <v>156</v>
      </c>
      <c r="B113" s="245" t="s">
        <v>157</v>
      </c>
      <c r="C113" s="246"/>
      <c r="D113" s="246"/>
      <c r="E113" s="247"/>
      <c r="F113" s="12">
        <v>3454</v>
      </c>
      <c r="G113" s="21">
        <v>50</v>
      </c>
      <c r="H113" s="102" t="s">
        <v>308</v>
      </c>
      <c r="I113" s="103"/>
      <c r="J113" s="103"/>
      <c r="K113" s="104"/>
    </row>
    <row r="114" spans="1:11" x14ac:dyDescent="0.3">
      <c r="A114" s="60" t="s">
        <v>158</v>
      </c>
      <c r="B114" s="232" t="s">
        <v>159</v>
      </c>
      <c r="C114" s="233"/>
      <c r="D114" s="233"/>
      <c r="E114" s="234"/>
      <c r="F114" s="12">
        <v>269439</v>
      </c>
      <c r="G114" s="21">
        <v>55</v>
      </c>
      <c r="H114" s="120" t="s">
        <v>160</v>
      </c>
      <c r="I114" s="121"/>
      <c r="J114" s="121"/>
      <c r="K114" s="122"/>
    </row>
    <row r="115" spans="1:11" ht="15" customHeight="1" x14ac:dyDescent="0.3">
      <c r="A115" s="145" t="s">
        <v>161</v>
      </c>
      <c r="B115" s="249" t="s">
        <v>162</v>
      </c>
      <c r="C115" s="250"/>
      <c r="D115" s="250"/>
      <c r="E115" s="251"/>
      <c r="F115" s="12">
        <v>36701</v>
      </c>
      <c r="G115" s="21">
        <v>41</v>
      </c>
      <c r="H115" s="120" t="s">
        <v>163</v>
      </c>
      <c r="I115" s="121"/>
      <c r="J115" s="121"/>
      <c r="K115" s="122"/>
    </row>
    <row r="116" spans="1:11" ht="13.95" customHeight="1" x14ac:dyDescent="0.3">
      <c r="A116" s="248"/>
      <c r="B116" s="252"/>
      <c r="C116" s="253"/>
      <c r="D116" s="253"/>
      <c r="E116" s="254"/>
      <c r="F116" s="12">
        <v>121000</v>
      </c>
      <c r="G116" s="21">
        <v>41</v>
      </c>
      <c r="H116" s="205" t="s">
        <v>297</v>
      </c>
      <c r="I116" s="206"/>
      <c r="J116" s="206"/>
      <c r="K116" s="207"/>
    </row>
    <row r="117" spans="1:11" ht="14.4" customHeight="1" x14ac:dyDescent="0.3">
      <c r="A117" s="161" t="s">
        <v>164</v>
      </c>
      <c r="B117" s="176" t="s">
        <v>165</v>
      </c>
      <c r="C117" s="177"/>
      <c r="D117" s="177"/>
      <c r="E117" s="178"/>
      <c r="F117" s="12">
        <v>161609</v>
      </c>
      <c r="G117" s="21">
        <v>41</v>
      </c>
      <c r="H117" s="102" t="s">
        <v>166</v>
      </c>
      <c r="I117" s="103"/>
      <c r="J117" s="103"/>
      <c r="K117" s="104"/>
    </row>
    <row r="118" spans="1:11" x14ac:dyDescent="0.3">
      <c r="A118" s="204"/>
      <c r="B118" s="183"/>
      <c r="C118" s="184"/>
      <c r="D118" s="184"/>
      <c r="E118" s="185"/>
      <c r="F118" s="34">
        <v>3006</v>
      </c>
      <c r="G118" s="35">
        <v>50</v>
      </c>
      <c r="H118" s="213"/>
      <c r="I118" s="214"/>
      <c r="J118" s="214"/>
      <c r="K118" s="215"/>
    </row>
    <row r="119" spans="1:11" x14ac:dyDescent="0.3">
      <c r="A119" s="164"/>
      <c r="B119" s="179"/>
      <c r="C119" s="180"/>
      <c r="D119" s="180"/>
      <c r="E119" s="181"/>
      <c r="F119" s="34">
        <v>2500</v>
      </c>
      <c r="G119" s="35">
        <v>55</v>
      </c>
      <c r="H119" s="105"/>
      <c r="I119" s="106"/>
      <c r="J119" s="106"/>
      <c r="K119" s="107"/>
    </row>
    <row r="120" spans="1:11" x14ac:dyDescent="0.3">
      <c r="A120" s="60" t="s">
        <v>167</v>
      </c>
      <c r="B120" s="232" t="s">
        <v>168</v>
      </c>
      <c r="C120" s="233"/>
      <c r="D120" s="233"/>
      <c r="E120" s="234"/>
      <c r="F120" s="12">
        <v>6000</v>
      </c>
      <c r="G120" s="21">
        <v>50</v>
      </c>
      <c r="H120" s="120" t="s">
        <v>169</v>
      </c>
      <c r="I120" s="121"/>
      <c r="J120" s="121"/>
      <c r="K120" s="122"/>
    </row>
    <row r="121" spans="1:11" x14ac:dyDescent="0.3">
      <c r="A121" s="243" t="s">
        <v>170</v>
      </c>
      <c r="B121" s="244"/>
      <c r="C121" s="244"/>
      <c r="D121" s="244"/>
      <c r="E121" s="39"/>
      <c r="F121" s="40">
        <f>SUM(F47,F49,F52,F54,F57,F59,F77,F107)</f>
        <v>3516476.8299999996</v>
      </c>
      <c r="G121" s="15"/>
      <c r="H121" s="111"/>
      <c r="I121" s="112"/>
      <c r="J121" s="112"/>
      <c r="K121" s="113"/>
    </row>
    <row r="122" spans="1:11" x14ac:dyDescent="0.3">
      <c r="A122" s="41"/>
      <c r="B122" s="41"/>
      <c r="C122" s="41"/>
      <c r="D122" s="41"/>
      <c r="E122" s="42" t="s">
        <v>171</v>
      </c>
      <c r="F122" s="43">
        <f>F41-F121</f>
        <v>-59796.529999999329</v>
      </c>
      <c r="H122" s="2">
        <v>59796.53</v>
      </c>
      <c r="I122" s="44">
        <f>SUM(F122:H122)</f>
        <v>6.6938810050487518E-10</v>
      </c>
    </row>
    <row r="123" spans="1:11" x14ac:dyDescent="0.3">
      <c r="A123" s="41"/>
      <c r="B123" s="41"/>
      <c r="C123" s="41"/>
      <c r="D123" s="41"/>
      <c r="E123" s="43"/>
    </row>
    <row r="124" spans="1:11" ht="45.75" customHeight="1" x14ac:dyDescent="0.3">
      <c r="A124" s="241" t="s">
        <v>172</v>
      </c>
      <c r="B124" s="241"/>
      <c r="C124" s="241"/>
      <c r="D124" s="241"/>
      <c r="E124" s="241"/>
      <c r="F124" s="241"/>
      <c r="G124" s="241"/>
      <c r="H124" s="241"/>
      <c r="I124" s="241"/>
      <c r="J124" s="241"/>
    </row>
    <row r="128" spans="1:11" ht="21" x14ac:dyDescent="0.4">
      <c r="A128" s="242" t="s">
        <v>173</v>
      </c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</row>
    <row r="129" spans="1:11" x14ac:dyDescent="0.3">
      <c r="A129" s="41"/>
      <c r="B129" s="41"/>
      <c r="C129" s="41"/>
      <c r="D129" s="41"/>
      <c r="E129" s="45"/>
      <c r="F129" s="43"/>
    </row>
    <row r="130" spans="1:11" ht="15.6" x14ac:dyDescent="0.3">
      <c r="A130" s="231" t="s">
        <v>174</v>
      </c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</row>
    <row r="131" spans="1:11" x14ac:dyDescent="0.3">
      <c r="B131" s="46"/>
      <c r="C131" s="46"/>
      <c r="D131" s="47"/>
    </row>
    <row r="132" spans="1:11" x14ac:dyDescent="0.3">
      <c r="A132" s="108" t="s">
        <v>3</v>
      </c>
      <c r="B132" s="109"/>
      <c r="C132" s="109"/>
      <c r="D132" s="109"/>
      <c r="E132" s="110"/>
      <c r="F132" s="5" t="s">
        <v>4</v>
      </c>
      <c r="G132" s="108" t="s">
        <v>5</v>
      </c>
      <c r="H132" s="109"/>
      <c r="I132" s="109"/>
      <c r="J132" s="109"/>
      <c r="K132" s="110"/>
    </row>
    <row r="133" spans="1:11" x14ac:dyDescent="0.3">
      <c r="A133" s="60" t="s">
        <v>175</v>
      </c>
      <c r="B133" s="232" t="s">
        <v>176</v>
      </c>
      <c r="C133" s="233"/>
      <c r="D133" s="233"/>
      <c r="E133" s="234"/>
      <c r="F133" s="12">
        <v>54953.67</v>
      </c>
      <c r="G133" s="120" t="s">
        <v>177</v>
      </c>
      <c r="H133" s="121"/>
      <c r="I133" s="121"/>
      <c r="J133" s="121"/>
      <c r="K133" s="122"/>
    </row>
    <row r="134" spans="1:11" ht="44.4" customHeight="1" x14ac:dyDescent="0.3">
      <c r="A134" s="60"/>
      <c r="B134" s="232" t="s">
        <v>178</v>
      </c>
      <c r="C134" s="233"/>
      <c r="D134" s="233"/>
      <c r="E134" s="234"/>
      <c r="F134" s="12">
        <v>234000</v>
      </c>
      <c r="G134" s="120" t="s">
        <v>298</v>
      </c>
      <c r="H134" s="121"/>
      <c r="I134" s="121"/>
      <c r="J134" s="121"/>
      <c r="K134" s="122"/>
    </row>
    <row r="135" spans="1:11" x14ac:dyDescent="0.3">
      <c r="A135" s="60" t="s">
        <v>179</v>
      </c>
      <c r="B135" s="232" t="s">
        <v>180</v>
      </c>
      <c r="C135" s="233"/>
      <c r="D135" s="233"/>
      <c r="E135" s="234"/>
      <c r="F135" s="12">
        <v>1625</v>
      </c>
      <c r="G135" s="120" t="s">
        <v>181</v>
      </c>
      <c r="H135" s="121"/>
      <c r="I135" s="121"/>
      <c r="J135" s="121"/>
      <c r="K135" s="122"/>
    </row>
    <row r="136" spans="1:11" x14ac:dyDescent="0.3">
      <c r="A136" s="235" t="s">
        <v>182</v>
      </c>
      <c r="B136" s="236"/>
      <c r="C136" s="236"/>
      <c r="D136" s="236"/>
      <c r="E136" s="237"/>
      <c r="F136" s="7">
        <f>SUM(F133:F135)</f>
        <v>290578.67</v>
      </c>
      <c r="G136" s="238"/>
      <c r="H136" s="239"/>
      <c r="I136" s="239"/>
      <c r="J136" s="239"/>
      <c r="K136" s="240"/>
    </row>
    <row r="137" spans="1:11" x14ac:dyDescent="0.3">
      <c r="B137" s="2"/>
    </row>
    <row r="138" spans="1:11" x14ac:dyDescent="0.3">
      <c r="B138" s="2"/>
    </row>
    <row r="139" spans="1:11" x14ac:dyDescent="0.3">
      <c r="B139" s="2"/>
    </row>
    <row r="140" spans="1:11" ht="35.4" customHeight="1" x14ac:dyDescent="0.3">
      <c r="A140" s="231" t="s">
        <v>183</v>
      </c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</row>
    <row r="141" spans="1:11" x14ac:dyDescent="0.3">
      <c r="B141" s="2"/>
    </row>
    <row r="142" spans="1:11" ht="28.8" x14ac:dyDescent="0.3">
      <c r="A142" s="108" t="s">
        <v>51</v>
      </c>
      <c r="B142" s="109"/>
      <c r="C142" s="109"/>
      <c r="D142" s="109"/>
      <c r="E142" s="109"/>
      <c r="F142" s="15" t="s">
        <v>4</v>
      </c>
      <c r="G142" s="15" t="s">
        <v>52</v>
      </c>
      <c r="H142" s="108" t="s">
        <v>5</v>
      </c>
      <c r="I142" s="109"/>
      <c r="J142" s="109"/>
      <c r="K142" s="110"/>
    </row>
    <row r="143" spans="1:11" x14ac:dyDescent="0.3">
      <c r="A143" s="22" t="s">
        <v>53</v>
      </c>
      <c r="B143" s="23"/>
      <c r="C143" s="17"/>
      <c r="D143" s="24"/>
      <c r="E143" s="24"/>
      <c r="F143" s="16">
        <f>SUM(F144)</f>
        <v>29405.93</v>
      </c>
      <c r="G143" s="17"/>
      <c r="H143" s="17"/>
      <c r="I143" s="17"/>
      <c r="J143" s="17"/>
      <c r="K143" s="19"/>
    </row>
    <row r="144" spans="1:11" ht="46.95" customHeight="1" x14ac:dyDescent="0.3">
      <c r="A144" s="60" t="s">
        <v>54</v>
      </c>
      <c r="B144" s="117" t="s">
        <v>55</v>
      </c>
      <c r="C144" s="118"/>
      <c r="D144" s="118"/>
      <c r="E144" s="118"/>
      <c r="F144" s="12">
        <v>29405.93</v>
      </c>
      <c r="G144" s="21">
        <v>55</v>
      </c>
      <c r="H144" s="120" t="s">
        <v>184</v>
      </c>
      <c r="I144" s="121"/>
      <c r="J144" s="121"/>
      <c r="K144" s="122"/>
    </row>
    <row r="145" spans="1:11" x14ac:dyDescent="0.3">
      <c r="A145" s="22" t="s">
        <v>57</v>
      </c>
      <c r="B145" s="23"/>
      <c r="C145" s="17"/>
      <c r="D145" s="24"/>
      <c r="E145" s="24"/>
      <c r="F145" s="16">
        <f>SUM(F146:F148)</f>
        <v>54846.16</v>
      </c>
      <c r="G145" s="17"/>
      <c r="H145" s="17"/>
      <c r="I145" s="17"/>
      <c r="J145" s="17"/>
      <c r="K145" s="19"/>
    </row>
    <row r="146" spans="1:11" x14ac:dyDescent="0.3">
      <c r="A146" s="60" t="s">
        <v>58</v>
      </c>
      <c r="B146" s="117" t="s">
        <v>59</v>
      </c>
      <c r="C146" s="118"/>
      <c r="D146" s="118"/>
      <c r="E146" s="118"/>
      <c r="F146" s="12">
        <v>39166.160000000003</v>
      </c>
      <c r="G146" s="21">
        <v>15</v>
      </c>
      <c r="H146" s="120" t="s">
        <v>185</v>
      </c>
      <c r="I146" s="121"/>
      <c r="J146" s="121"/>
      <c r="K146" s="122"/>
    </row>
    <row r="147" spans="1:11" x14ac:dyDescent="0.3">
      <c r="A147" s="60" t="s">
        <v>186</v>
      </c>
      <c r="B147" s="117" t="s">
        <v>187</v>
      </c>
      <c r="C147" s="118"/>
      <c r="D147" s="118"/>
      <c r="E147" s="118"/>
      <c r="F147" s="12">
        <v>5000</v>
      </c>
      <c r="G147" s="21">
        <v>45</v>
      </c>
      <c r="H147" s="120" t="s">
        <v>188</v>
      </c>
      <c r="I147" s="121"/>
      <c r="J147" s="121"/>
      <c r="K147" s="122"/>
    </row>
    <row r="148" spans="1:11" x14ac:dyDescent="0.3">
      <c r="A148" s="60" t="s">
        <v>189</v>
      </c>
      <c r="B148" s="117" t="s">
        <v>190</v>
      </c>
      <c r="C148" s="118"/>
      <c r="D148" s="118"/>
      <c r="E148" s="118"/>
      <c r="F148" s="12">
        <v>10680</v>
      </c>
      <c r="G148" s="21">
        <v>55</v>
      </c>
      <c r="H148" s="120" t="s">
        <v>191</v>
      </c>
      <c r="I148" s="121"/>
      <c r="J148" s="121"/>
      <c r="K148" s="122"/>
    </row>
    <row r="149" spans="1:11" x14ac:dyDescent="0.3">
      <c r="A149" s="22" t="s">
        <v>192</v>
      </c>
      <c r="B149" s="23"/>
      <c r="C149" s="17"/>
      <c r="D149" s="24"/>
      <c r="E149" s="24"/>
      <c r="F149" s="16">
        <f>SUM(F150:F150)</f>
        <v>1612.8</v>
      </c>
      <c r="G149" s="17"/>
      <c r="H149" s="17"/>
      <c r="I149" s="17"/>
      <c r="J149" s="17"/>
      <c r="K149" s="19"/>
    </row>
    <row r="150" spans="1:11" x14ac:dyDescent="0.3">
      <c r="A150" s="33" t="s">
        <v>193</v>
      </c>
      <c r="B150" s="192" t="s">
        <v>194</v>
      </c>
      <c r="C150" s="193"/>
      <c r="D150" s="193"/>
      <c r="E150" s="193"/>
      <c r="F150" s="25">
        <v>1612.8</v>
      </c>
      <c r="G150" s="26">
        <v>50</v>
      </c>
      <c r="H150" s="103" t="s">
        <v>195</v>
      </c>
      <c r="I150" s="103"/>
      <c r="J150" s="103"/>
      <c r="K150" s="104"/>
    </row>
    <row r="151" spans="1:11" x14ac:dyDescent="0.3">
      <c r="A151" s="22" t="s">
        <v>65</v>
      </c>
      <c r="B151" s="23"/>
      <c r="C151" s="17"/>
      <c r="D151" s="24"/>
      <c r="E151" s="24"/>
      <c r="F151" s="16">
        <f>SUM(F152)</f>
        <v>10667</v>
      </c>
      <c r="G151" s="17"/>
      <c r="H151" s="17"/>
      <c r="I151" s="17"/>
      <c r="J151" s="17"/>
      <c r="K151" s="19"/>
    </row>
    <row r="152" spans="1:11" x14ac:dyDescent="0.3">
      <c r="A152" s="60" t="s">
        <v>196</v>
      </c>
      <c r="B152" s="117" t="s">
        <v>197</v>
      </c>
      <c r="C152" s="118"/>
      <c r="D152" s="118"/>
      <c r="E152" s="118"/>
      <c r="F152" s="12">
        <v>10667</v>
      </c>
      <c r="G152" s="21">
        <v>15</v>
      </c>
      <c r="H152" s="120" t="s">
        <v>198</v>
      </c>
      <c r="I152" s="121"/>
      <c r="J152" s="121"/>
      <c r="K152" s="122"/>
    </row>
    <row r="153" spans="1:11" x14ac:dyDescent="0.3">
      <c r="A153" s="114" t="s">
        <v>74</v>
      </c>
      <c r="B153" s="115"/>
      <c r="C153" s="115"/>
      <c r="D153" s="115"/>
      <c r="E153" s="115"/>
      <c r="F153" s="16">
        <f>SUM(F154:F161)</f>
        <v>246480.75</v>
      </c>
      <c r="G153" s="17"/>
      <c r="H153" s="17"/>
      <c r="I153" s="17"/>
      <c r="J153" s="17"/>
      <c r="K153" s="19"/>
    </row>
    <row r="154" spans="1:11" x14ac:dyDescent="0.3">
      <c r="A154" s="60" t="s">
        <v>199</v>
      </c>
      <c r="B154" s="117" t="s">
        <v>200</v>
      </c>
      <c r="C154" s="118"/>
      <c r="D154" s="118"/>
      <c r="E154" s="118"/>
      <c r="F154" s="12">
        <v>125000</v>
      </c>
      <c r="G154" s="21">
        <v>15</v>
      </c>
      <c r="H154" s="222" t="s">
        <v>201</v>
      </c>
      <c r="I154" s="223"/>
      <c r="J154" s="223"/>
      <c r="K154" s="224"/>
    </row>
    <row r="155" spans="1:11" ht="30" customHeight="1" x14ac:dyDescent="0.3">
      <c r="A155" s="60" t="s">
        <v>202</v>
      </c>
      <c r="B155" s="117" t="s">
        <v>203</v>
      </c>
      <c r="C155" s="118"/>
      <c r="D155" s="118"/>
      <c r="E155" s="118"/>
      <c r="F155" s="12">
        <v>6000</v>
      </c>
      <c r="G155" s="21">
        <v>55</v>
      </c>
      <c r="H155" s="222" t="s">
        <v>204</v>
      </c>
      <c r="I155" s="223"/>
      <c r="J155" s="223"/>
      <c r="K155" s="224"/>
    </row>
    <row r="156" spans="1:11" x14ac:dyDescent="0.3">
      <c r="A156" s="145" t="s">
        <v>205</v>
      </c>
      <c r="B156" s="170" t="s">
        <v>206</v>
      </c>
      <c r="C156" s="171"/>
      <c r="D156" s="171"/>
      <c r="E156" s="172"/>
      <c r="F156" s="12">
        <v>21904.799999999999</v>
      </c>
      <c r="G156" s="21">
        <v>15</v>
      </c>
      <c r="H156" s="222" t="s">
        <v>207</v>
      </c>
      <c r="I156" s="223"/>
      <c r="J156" s="223"/>
      <c r="K156" s="224"/>
    </row>
    <row r="157" spans="1:11" x14ac:dyDescent="0.3">
      <c r="A157" s="146"/>
      <c r="B157" s="173"/>
      <c r="C157" s="174"/>
      <c r="D157" s="174"/>
      <c r="E157" s="175"/>
      <c r="F157" s="12">
        <v>482.16</v>
      </c>
      <c r="G157" s="21">
        <v>55</v>
      </c>
      <c r="H157" s="216" t="s">
        <v>208</v>
      </c>
      <c r="I157" s="217"/>
      <c r="J157" s="217"/>
      <c r="K157" s="218"/>
    </row>
    <row r="158" spans="1:11" ht="14.4" customHeight="1" x14ac:dyDescent="0.3">
      <c r="A158" s="60" t="s">
        <v>93</v>
      </c>
      <c r="B158" s="117" t="s">
        <v>209</v>
      </c>
      <c r="C158" s="118"/>
      <c r="D158" s="118"/>
      <c r="E158" s="118"/>
      <c r="F158" s="12">
        <v>482.16</v>
      </c>
      <c r="G158" s="21">
        <v>55</v>
      </c>
      <c r="H158" s="225"/>
      <c r="I158" s="226"/>
      <c r="J158" s="226"/>
      <c r="K158" s="227"/>
    </row>
    <row r="159" spans="1:11" x14ac:dyDescent="0.3">
      <c r="A159" s="60" t="s">
        <v>210</v>
      </c>
      <c r="B159" s="117" t="s">
        <v>211</v>
      </c>
      <c r="C159" s="118"/>
      <c r="D159" s="118"/>
      <c r="E159" s="118"/>
      <c r="F159" s="12">
        <v>482.16</v>
      </c>
      <c r="G159" s="21">
        <v>55</v>
      </c>
      <c r="H159" s="228"/>
      <c r="I159" s="229"/>
      <c r="J159" s="229"/>
      <c r="K159" s="230"/>
    </row>
    <row r="160" spans="1:11" ht="33" customHeight="1" x14ac:dyDescent="0.3">
      <c r="A160" s="60" t="s">
        <v>212</v>
      </c>
      <c r="B160" s="117" t="s">
        <v>98</v>
      </c>
      <c r="C160" s="118"/>
      <c r="D160" s="118"/>
      <c r="E160" s="118"/>
      <c r="F160" s="12">
        <v>32332.94</v>
      </c>
      <c r="G160" s="21">
        <v>15</v>
      </c>
      <c r="H160" s="222" t="s">
        <v>213</v>
      </c>
      <c r="I160" s="223"/>
      <c r="J160" s="223"/>
      <c r="K160" s="224"/>
    </row>
    <row r="161" spans="1:11" ht="47.4" customHeight="1" x14ac:dyDescent="0.3">
      <c r="A161" s="60"/>
      <c r="B161" s="186" t="s">
        <v>214</v>
      </c>
      <c r="C161" s="187"/>
      <c r="D161" s="187"/>
      <c r="E161" s="187"/>
      <c r="F161" s="12">
        <v>59796.53</v>
      </c>
      <c r="G161" s="21"/>
      <c r="H161" s="186" t="s">
        <v>215</v>
      </c>
      <c r="I161" s="187"/>
      <c r="J161" s="187"/>
      <c r="K161" s="188"/>
    </row>
    <row r="162" spans="1:11" x14ac:dyDescent="0.3">
      <c r="A162" s="114" t="s">
        <v>99</v>
      </c>
      <c r="B162" s="115"/>
      <c r="C162" s="115"/>
      <c r="D162" s="115"/>
      <c r="E162" s="115"/>
      <c r="F162" s="16">
        <f>SUM(F163:F190)</f>
        <v>219047.22000000003</v>
      </c>
      <c r="G162" s="17"/>
      <c r="H162" s="17"/>
      <c r="I162" s="17"/>
      <c r="J162" s="17"/>
      <c r="K162" s="19"/>
    </row>
    <row r="163" spans="1:11" x14ac:dyDescent="0.3">
      <c r="A163" s="60" t="s">
        <v>100</v>
      </c>
      <c r="B163" s="117" t="s">
        <v>101</v>
      </c>
      <c r="C163" s="118"/>
      <c r="D163" s="118"/>
      <c r="E163" s="118"/>
      <c r="F163" s="12">
        <v>687.82</v>
      </c>
      <c r="G163" s="21">
        <v>50</v>
      </c>
      <c r="H163" s="102" t="s">
        <v>216</v>
      </c>
      <c r="I163" s="103"/>
      <c r="J163" s="103"/>
      <c r="K163" s="104"/>
    </row>
    <row r="164" spans="1:11" x14ac:dyDescent="0.3">
      <c r="A164" s="60" t="s">
        <v>217</v>
      </c>
      <c r="B164" s="117" t="s">
        <v>218</v>
      </c>
      <c r="C164" s="118"/>
      <c r="D164" s="118"/>
      <c r="E164" s="118"/>
      <c r="F164" s="12">
        <v>3000</v>
      </c>
      <c r="G164" s="21">
        <v>15</v>
      </c>
      <c r="H164" s="102" t="s">
        <v>219</v>
      </c>
      <c r="I164" s="103"/>
      <c r="J164" s="103"/>
      <c r="K164" s="104"/>
    </row>
    <row r="165" spans="1:11" ht="18" customHeight="1" x14ac:dyDescent="0.3">
      <c r="A165" s="60" t="s">
        <v>103</v>
      </c>
      <c r="B165" s="117" t="s">
        <v>104</v>
      </c>
      <c r="C165" s="118"/>
      <c r="D165" s="118"/>
      <c r="E165" s="118"/>
      <c r="F165" s="12">
        <v>77.319999999999993</v>
      </c>
      <c r="G165" s="21">
        <v>50</v>
      </c>
      <c r="H165" s="102" t="s">
        <v>216</v>
      </c>
      <c r="I165" s="103"/>
      <c r="J165" s="103"/>
      <c r="K165" s="104"/>
    </row>
    <row r="166" spans="1:11" ht="14.4" customHeight="1" x14ac:dyDescent="0.3">
      <c r="A166" s="60" t="s">
        <v>108</v>
      </c>
      <c r="B166" s="117" t="s">
        <v>109</v>
      </c>
      <c r="C166" s="118"/>
      <c r="D166" s="118"/>
      <c r="E166" s="118"/>
      <c r="F166" s="12">
        <v>1776.6</v>
      </c>
      <c r="G166" s="21">
        <v>50</v>
      </c>
      <c r="H166" s="213"/>
      <c r="I166" s="214"/>
      <c r="J166" s="214"/>
      <c r="K166" s="215"/>
    </row>
    <row r="167" spans="1:11" x14ac:dyDescent="0.3">
      <c r="A167" s="60" t="s">
        <v>110</v>
      </c>
      <c r="B167" s="117" t="s">
        <v>111</v>
      </c>
      <c r="C167" s="118"/>
      <c r="D167" s="118"/>
      <c r="E167" s="118"/>
      <c r="F167" s="12">
        <v>0.87</v>
      </c>
      <c r="G167" s="21">
        <v>50</v>
      </c>
      <c r="H167" s="105"/>
      <c r="I167" s="106"/>
      <c r="J167" s="106"/>
      <c r="K167" s="107"/>
    </row>
    <row r="168" spans="1:11" x14ac:dyDescent="0.3">
      <c r="A168" s="48" t="s">
        <v>112</v>
      </c>
      <c r="B168" s="179" t="s">
        <v>113</v>
      </c>
      <c r="C168" s="180"/>
      <c r="D168" s="180"/>
      <c r="E168" s="180"/>
      <c r="F168" s="34">
        <v>318.39999999999998</v>
      </c>
      <c r="G168" s="35">
        <v>55</v>
      </c>
      <c r="H168" s="138" t="s">
        <v>220</v>
      </c>
      <c r="I168" s="139"/>
      <c r="J168" s="139"/>
      <c r="K168" s="140"/>
    </row>
    <row r="169" spans="1:11" x14ac:dyDescent="0.3">
      <c r="A169" s="159" t="s">
        <v>115</v>
      </c>
      <c r="B169" s="176" t="s">
        <v>116</v>
      </c>
      <c r="C169" s="177"/>
      <c r="D169" s="177"/>
      <c r="E169" s="177"/>
      <c r="F169" s="12">
        <f>1.97+1253.73+553.55</f>
        <v>1809.25</v>
      </c>
      <c r="G169" s="21">
        <v>50</v>
      </c>
      <c r="H169" s="102" t="s">
        <v>221</v>
      </c>
      <c r="I169" s="103"/>
      <c r="J169" s="103"/>
      <c r="K169" s="104"/>
    </row>
    <row r="170" spans="1:11" x14ac:dyDescent="0.3">
      <c r="A170" s="160"/>
      <c r="B170" s="179"/>
      <c r="C170" s="180"/>
      <c r="D170" s="180"/>
      <c r="E170" s="180"/>
      <c r="F170" s="34">
        <f>125.31+589+141.56+10319.34</f>
        <v>11175.21</v>
      </c>
      <c r="G170" s="35">
        <v>55</v>
      </c>
      <c r="H170" s="213"/>
      <c r="I170" s="214"/>
      <c r="J170" s="214"/>
      <c r="K170" s="215"/>
    </row>
    <row r="171" spans="1:11" x14ac:dyDescent="0.3">
      <c r="A171" s="159" t="s">
        <v>118</v>
      </c>
      <c r="B171" s="176" t="s">
        <v>119</v>
      </c>
      <c r="C171" s="177"/>
      <c r="D171" s="177"/>
      <c r="E171" s="177"/>
      <c r="F171" s="12">
        <f>134.37+45.42</f>
        <v>179.79000000000002</v>
      </c>
      <c r="G171" s="21">
        <v>50</v>
      </c>
      <c r="H171" s="213"/>
      <c r="I171" s="214"/>
      <c r="J171" s="214"/>
      <c r="K171" s="215"/>
    </row>
    <row r="172" spans="1:11" x14ac:dyDescent="0.3">
      <c r="A172" s="160"/>
      <c r="B172" s="179"/>
      <c r="C172" s="180"/>
      <c r="D172" s="180"/>
      <c r="E172" s="180"/>
      <c r="F172" s="34">
        <f>9619.92</f>
        <v>9619.92</v>
      </c>
      <c r="G172" s="35">
        <v>55</v>
      </c>
      <c r="H172" s="105"/>
      <c r="I172" s="106"/>
      <c r="J172" s="106"/>
      <c r="K172" s="107"/>
    </row>
    <row r="173" spans="1:11" x14ac:dyDescent="0.3">
      <c r="A173" s="159" t="s">
        <v>120</v>
      </c>
      <c r="B173" s="176" t="s">
        <v>121</v>
      </c>
      <c r="C173" s="177"/>
      <c r="D173" s="177"/>
      <c r="E173" s="177"/>
      <c r="F173" s="12">
        <v>6704</v>
      </c>
      <c r="G173" s="21">
        <v>15</v>
      </c>
      <c r="H173" s="216" t="s">
        <v>299</v>
      </c>
      <c r="I173" s="217"/>
      <c r="J173" s="217"/>
      <c r="K173" s="218"/>
    </row>
    <row r="174" spans="1:11" x14ac:dyDescent="0.3">
      <c r="A174" s="182"/>
      <c r="B174" s="183"/>
      <c r="C174" s="184"/>
      <c r="D174" s="184"/>
      <c r="E174" s="184"/>
      <c r="F174" s="12">
        <v>3241.59</v>
      </c>
      <c r="G174" s="21">
        <v>50</v>
      </c>
      <c r="H174" s="219" t="s">
        <v>222</v>
      </c>
      <c r="I174" s="220"/>
      <c r="J174" s="220"/>
      <c r="K174" s="221"/>
    </row>
    <row r="175" spans="1:11" ht="30" customHeight="1" x14ac:dyDescent="0.3">
      <c r="A175" s="160"/>
      <c r="B175" s="179"/>
      <c r="C175" s="180"/>
      <c r="D175" s="180"/>
      <c r="E175" s="180"/>
      <c r="F175" s="34">
        <f>1871.67+2915.29</f>
        <v>4786.96</v>
      </c>
      <c r="G175" s="35">
        <v>55</v>
      </c>
      <c r="H175" s="102" t="s">
        <v>223</v>
      </c>
      <c r="I175" s="103"/>
      <c r="J175" s="103"/>
      <c r="K175" s="104"/>
    </row>
    <row r="176" spans="1:11" x14ac:dyDescent="0.3">
      <c r="A176" s="159" t="s">
        <v>122</v>
      </c>
      <c r="B176" s="176" t="s">
        <v>123</v>
      </c>
      <c r="C176" s="177"/>
      <c r="D176" s="177"/>
      <c r="E176" s="177"/>
      <c r="F176" s="12">
        <f>237.2+4399.35+3540.57</f>
        <v>8177.1200000000008</v>
      </c>
      <c r="G176" s="21">
        <v>50</v>
      </c>
      <c r="H176" s="102" t="s">
        <v>221</v>
      </c>
      <c r="I176" s="103"/>
      <c r="J176" s="103"/>
      <c r="K176" s="104"/>
    </row>
    <row r="177" spans="1:11" x14ac:dyDescent="0.3">
      <c r="A177" s="160"/>
      <c r="B177" s="179"/>
      <c r="C177" s="180"/>
      <c r="D177" s="180"/>
      <c r="E177" s="180"/>
      <c r="F177" s="34">
        <v>44661.760000000002</v>
      </c>
      <c r="G177" s="35">
        <v>55</v>
      </c>
      <c r="H177" s="213"/>
      <c r="I177" s="214"/>
      <c r="J177" s="214"/>
      <c r="K177" s="215"/>
    </row>
    <row r="178" spans="1:11" x14ac:dyDescent="0.3">
      <c r="A178" s="159" t="s">
        <v>124</v>
      </c>
      <c r="B178" s="176" t="s">
        <v>125</v>
      </c>
      <c r="C178" s="177"/>
      <c r="D178" s="177"/>
      <c r="E178" s="177"/>
      <c r="F178" s="34">
        <f>643.03+12709.35-5505+3654.82</f>
        <v>11502.2</v>
      </c>
      <c r="G178" s="35">
        <v>50</v>
      </c>
      <c r="H178" s="213"/>
      <c r="I178" s="214"/>
      <c r="J178" s="214"/>
      <c r="K178" s="215"/>
    </row>
    <row r="179" spans="1:11" x14ac:dyDescent="0.3">
      <c r="A179" s="160"/>
      <c r="B179" s="179"/>
      <c r="C179" s="180"/>
      <c r="D179" s="180"/>
      <c r="E179" s="180"/>
      <c r="F179" s="34">
        <f>9.66+10118.59</f>
        <v>10128.25</v>
      </c>
      <c r="G179" s="35">
        <v>55</v>
      </c>
      <c r="H179" s="213"/>
      <c r="I179" s="214"/>
      <c r="J179" s="214"/>
      <c r="K179" s="215"/>
    </row>
    <row r="180" spans="1:11" x14ac:dyDescent="0.3">
      <c r="A180" s="60" t="s">
        <v>126</v>
      </c>
      <c r="B180" s="117" t="s">
        <v>127</v>
      </c>
      <c r="C180" s="118"/>
      <c r="D180" s="118"/>
      <c r="E180" s="118"/>
      <c r="F180" s="12">
        <v>132</v>
      </c>
      <c r="G180" s="21">
        <v>55</v>
      </c>
      <c r="H180" s="102" t="s">
        <v>224</v>
      </c>
      <c r="I180" s="103"/>
      <c r="J180" s="103"/>
      <c r="K180" s="104"/>
    </row>
    <row r="181" spans="1:11" x14ac:dyDescent="0.3">
      <c r="A181" s="159" t="s">
        <v>128</v>
      </c>
      <c r="B181" s="176" t="s">
        <v>129</v>
      </c>
      <c r="C181" s="177"/>
      <c r="D181" s="177"/>
      <c r="E181" s="177"/>
      <c r="F181" s="12">
        <v>119.16</v>
      </c>
      <c r="G181" s="21">
        <v>50</v>
      </c>
      <c r="H181" s="102" t="s">
        <v>221</v>
      </c>
      <c r="I181" s="103"/>
      <c r="J181" s="103"/>
      <c r="K181" s="104"/>
    </row>
    <row r="182" spans="1:11" x14ac:dyDescent="0.3">
      <c r="A182" s="160"/>
      <c r="B182" s="179"/>
      <c r="C182" s="180"/>
      <c r="D182" s="180"/>
      <c r="E182" s="180"/>
      <c r="F182" s="12">
        <v>1528.81</v>
      </c>
      <c r="G182" s="21">
        <v>55</v>
      </c>
      <c r="H182" s="105"/>
      <c r="I182" s="106"/>
      <c r="J182" s="106"/>
      <c r="K182" s="107"/>
    </row>
    <row r="183" spans="1:11" ht="14.4" customHeight="1" x14ac:dyDescent="0.3">
      <c r="A183" s="159" t="s">
        <v>131</v>
      </c>
      <c r="B183" s="176" t="s">
        <v>132</v>
      </c>
      <c r="C183" s="177"/>
      <c r="D183" s="177"/>
      <c r="E183" s="177"/>
      <c r="F183" s="12">
        <v>2640</v>
      </c>
      <c r="G183" s="21">
        <v>50</v>
      </c>
      <c r="H183" s="102" t="s">
        <v>224</v>
      </c>
      <c r="I183" s="103"/>
      <c r="J183" s="103"/>
      <c r="K183" s="104"/>
    </row>
    <row r="184" spans="1:11" x14ac:dyDescent="0.3">
      <c r="A184" s="160"/>
      <c r="B184" s="179"/>
      <c r="C184" s="180"/>
      <c r="D184" s="180"/>
      <c r="E184" s="180"/>
      <c r="F184" s="12">
        <v>5760</v>
      </c>
      <c r="G184" s="21">
        <v>55</v>
      </c>
      <c r="H184" s="120" t="s">
        <v>225</v>
      </c>
      <c r="I184" s="121"/>
      <c r="J184" s="121"/>
      <c r="K184" s="122"/>
    </row>
    <row r="185" spans="1:11" x14ac:dyDescent="0.3">
      <c r="A185" s="211" t="s">
        <v>134</v>
      </c>
      <c r="B185" s="176" t="s">
        <v>135</v>
      </c>
      <c r="C185" s="177"/>
      <c r="D185" s="177"/>
      <c r="E185" s="177"/>
      <c r="F185" s="12">
        <f>21170+7155.49</f>
        <v>28325.489999999998</v>
      </c>
      <c r="G185" s="21">
        <v>50</v>
      </c>
      <c r="H185" s="102" t="s">
        <v>226</v>
      </c>
      <c r="I185" s="103"/>
      <c r="J185" s="103"/>
      <c r="K185" s="104"/>
    </row>
    <row r="186" spans="1:11" x14ac:dyDescent="0.3">
      <c r="A186" s="212"/>
      <c r="B186" s="179"/>
      <c r="C186" s="180"/>
      <c r="D186" s="180"/>
      <c r="E186" s="180"/>
      <c r="F186" s="12">
        <f>21574.65+2521.2</f>
        <v>24095.850000000002</v>
      </c>
      <c r="G186" s="21">
        <v>55</v>
      </c>
      <c r="H186" s="105"/>
      <c r="I186" s="106"/>
      <c r="J186" s="106"/>
      <c r="K186" s="107"/>
    </row>
    <row r="187" spans="1:11" ht="14.4" customHeight="1" x14ac:dyDescent="0.3">
      <c r="A187" s="60" t="s">
        <v>137</v>
      </c>
      <c r="B187" s="117" t="s">
        <v>227</v>
      </c>
      <c r="C187" s="118"/>
      <c r="D187" s="118"/>
      <c r="E187" s="118"/>
      <c r="F187" s="12">
        <v>66.319999999999993</v>
      </c>
      <c r="G187" s="21">
        <v>50</v>
      </c>
      <c r="H187" s="102" t="s">
        <v>221</v>
      </c>
      <c r="I187" s="103"/>
      <c r="J187" s="103"/>
      <c r="K187" s="104"/>
    </row>
    <row r="188" spans="1:11" ht="14.4" customHeight="1" x14ac:dyDescent="0.3">
      <c r="A188" s="60" t="s">
        <v>144</v>
      </c>
      <c r="B188" s="117" t="s">
        <v>125</v>
      </c>
      <c r="C188" s="118"/>
      <c r="D188" s="118"/>
      <c r="E188" s="118"/>
      <c r="F188" s="12">
        <v>18544.39</v>
      </c>
      <c r="G188" s="21">
        <v>55</v>
      </c>
      <c r="H188" s="213"/>
      <c r="I188" s="214"/>
      <c r="J188" s="214"/>
      <c r="K188" s="215"/>
    </row>
    <row r="189" spans="1:11" x14ac:dyDescent="0.3">
      <c r="A189" s="60" t="s">
        <v>145</v>
      </c>
      <c r="B189" s="117" t="s">
        <v>119</v>
      </c>
      <c r="C189" s="118"/>
      <c r="D189" s="118"/>
      <c r="E189" s="118"/>
      <c r="F189" s="12">
        <v>580.14</v>
      </c>
      <c r="G189" s="21">
        <v>55</v>
      </c>
      <c r="H189" s="105"/>
      <c r="I189" s="106"/>
      <c r="J189" s="106"/>
      <c r="K189" s="107"/>
    </row>
    <row r="190" spans="1:11" ht="63" customHeight="1" x14ac:dyDescent="0.3">
      <c r="A190" s="60" t="s">
        <v>147</v>
      </c>
      <c r="B190" s="117" t="s">
        <v>148</v>
      </c>
      <c r="C190" s="118"/>
      <c r="D190" s="118"/>
      <c r="E190" s="118"/>
      <c r="F190" s="12">
        <f>2114+17294</f>
        <v>19408</v>
      </c>
      <c r="G190" s="21">
        <v>55</v>
      </c>
      <c r="H190" s="120" t="s">
        <v>228</v>
      </c>
      <c r="I190" s="121"/>
      <c r="J190" s="121"/>
      <c r="K190" s="122"/>
    </row>
    <row r="191" spans="1:11" x14ac:dyDescent="0.3">
      <c r="A191" s="114" t="s">
        <v>150</v>
      </c>
      <c r="B191" s="115"/>
      <c r="C191" s="115"/>
      <c r="D191" s="115"/>
      <c r="E191" s="115"/>
      <c r="F191" s="16">
        <f>SUM(F192:F195)</f>
        <v>40503.1</v>
      </c>
      <c r="G191" s="17"/>
      <c r="H191" s="17"/>
      <c r="I191" s="17"/>
      <c r="J191" s="17"/>
      <c r="K191" s="19"/>
    </row>
    <row r="192" spans="1:11" x14ac:dyDescent="0.3">
      <c r="A192" s="159" t="s">
        <v>156</v>
      </c>
      <c r="B192" s="176" t="s">
        <v>157</v>
      </c>
      <c r="C192" s="177"/>
      <c r="D192" s="177"/>
      <c r="E192" s="177"/>
      <c r="F192" s="12">
        <v>686.44</v>
      </c>
      <c r="G192" s="21">
        <v>50</v>
      </c>
      <c r="H192" s="102" t="s">
        <v>300</v>
      </c>
      <c r="I192" s="103"/>
      <c r="J192" s="103"/>
      <c r="K192" s="104"/>
    </row>
    <row r="193" spans="1:11" x14ac:dyDescent="0.3">
      <c r="A193" s="160"/>
      <c r="B193" s="179"/>
      <c r="C193" s="180"/>
      <c r="D193" s="180"/>
      <c r="E193" s="180"/>
      <c r="F193" s="34">
        <v>4376.57</v>
      </c>
      <c r="G193" s="35">
        <v>55</v>
      </c>
      <c r="H193" s="105"/>
      <c r="I193" s="106"/>
      <c r="J193" s="106"/>
      <c r="K193" s="107"/>
    </row>
    <row r="194" spans="1:11" x14ac:dyDescent="0.3">
      <c r="A194" s="161" t="s">
        <v>164</v>
      </c>
      <c r="B194" s="176" t="s">
        <v>165</v>
      </c>
      <c r="C194" s="177"/>
      <c r="D194" s="177"/>
      <c r="E194" s="177"/>
      <c r="F194" s="12">
        <v>29507.200000000001</v>
      </c>
      <c r="G194" s="21">
        <v>41</v>
      </c>
      <c r="H194" s="205" t="s">
        <v>229</v>
      </c>
      <c r="I194" s="206"/>
      <c r="J194" s="206"/>
      <c r="K194" s="207"/>
    </row>
    <row r="195" spans="1:11" ht="13.95" customHeight="1" x14ac:dyDescent="0.3">
      <c r="A195" s="204"/>
      <c r="B195" s="183"/>
      <c r="C195" s="184"/>
      <c r="D195" s="184"/>
      <c r="E195" s="184"/>
      <c r="F195" s="12">
        <f>5904.98+27.91</f>
        <v>5932.8899999999994</v>
      </c>
      <c r="G195" s="21">
        <v>50</v>
      </c>
      <c r="H195" s="138" t="s">
        <v>230</v>
      </c>
      <c r="I195" s="139"/>
      <c r="J195" s="139"/>
      <c r="K195" s="140"/>
    </row>
    <row r="196" spans="1:11" x14ac:dyDescent="0.3">
      <c r="A196" s="96" t="s">
        <v>231</v>
      </c>
      <c r="B196" s="97"/>
      <c r="C196" s="97"/>
      <c r="D196" s="97"/>
      <c r="E196" s="97"/>
      <c r="F196" s="49">
        <f>SUM(F143,F145,F149,F151,F153,F162,F191)</f>
        <v>602562.96000000008</v>
      </c>
      <c r="G196" s="50"/>
      <c r="H196" s="208"/>
      <c r="I196" s="209"/>
      <c r="J196" s="209"/>
      <c r="K196" s="210"/>
    </row>
    <row r="197" spans="1:11" x14ac:dyDescent="0.3">
      <c r="A197" s="41"/>
      <c r="B197" s="41"/>
      <c r="C197" s="41"/>
      <c r="D197" s="41"/>
      <c r="E197" s="51"/>
      <c r="F197" s="43"/>
      <c r="G197" s="2"/>
      <c r="H197"/>
      <c r="I197"/>
      <c r="J197"/>
      <c r="K197"/>
    </row>
    <row r="198" spans="1:11" x14ac:dyDescent="0.3">
      <c r="B198" s="2"/>
    </row>
    <row r="199" spans="1:11" ht="35.4" customHeight="1" x14ac:dyDescent="0.3">
      <c r="A199" s="141" t="s">
        <v>232</v>
      </c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</row>
    <row r="200" spans="1:11" x14ac:dyDescent="0.3">
      <c r="B200" s="2"/>
    </row>
    <row r="201" spans="1:11" ht="28.2" customHeight="1" x14ac:dyDescent="0.3">
      <c r="A201" s="108" t="s">
        <v>51</v>
      </c>
      <c r="B201" s="109"/>
      <c r="C201" s="109"/>
      <c r="D201" s="109"/>
      <c r="E201" s="110"/>
      <c r="F201" s="15" t="s">
        <v>4</v>
      </c>
      <c r="G201" s="15" t="s">
        <v>52</v>
      </c>
      <c r="H201" s="111" t="s">
        <v>5</v>
      </c>
      <c r="I201" s="112"/>
      <c r="J201" s="112"/>
      <c r="K201" s="113"/>
    </row>
    <row r="202" spans="1:11" x14ac:dyDescent="0.3">
      <c r="A202" s="114" t="s">
        <v>53</v>
      </c>
      <c r="B202" s="115"/>
      <c r="C202" s="115"/>
      <c r="D202" s="115"/>
      <c r="E202" s="116"/>
      <c r="F202" s="16">
        <f>SUM(F203:F204)</f>
        <v>-2700</v>
      </c>
      <c r="G202" s="17"/>
      <c r="H202" s="18"/>
      <c r="I202" s="18"/>
      <c r="J202" s="18"/>
      <c r="K202" s="19"/>
    </row>
    <row r="203" spans="1:11" x14ac:dyDescent="0.3">
      <c r="A203" s="60" t="s">
        <v>233</v>
      </c>
      <c r="B203" s="186" t="s">
        <v>234</v>
      </c>
      <c r="C203" s="187"/>
      <c r="D203" s="187"/>
      <c r="E203" s="188"/>
      <c r="F203" s="12">
        <v>-700</v>
      </c>
      <c r="G203" s="21">
        <v>55</v>
      </c>
      <c r="H203" s="198" t="s">
        <v>235</v>
      </c>
      <c r="I203" s="199"/>
      <c r="J203" s="199"/>
      <c r="K203" s="200"/>
    </row>
    <row r="204" spans="1:11" x14ac:dyDescent="0.3">
      <c r="A204" s="60" t="s">
        <v>54</v>
      </c>
      <c r="B204" s="186" t="s">
        <v>55</v>
      </c>
      <c r="C204" s="187"/>
      <c r="D204" s="187"/>
      <c r="E204" s="188"/>
      <c r="F204" s="12">
        <v>-2000</v>
      </c>
      <c r="G204" s="21">
        <v>55</v>
      </c>
      <c r="H204" s="201"/>
      <c r="I204" s="202"/>
      <c r="J204" s="202"/>
      <c r="K204" s="203"/>
    </row>
    <row r="205" spans="1:11" ht="14.4" customHeight="1" x14ac:dyDescent="0.3">
      <c r="A205" s="22" t="s">
        <v>57</v>
      </c>
      <c r="B205" s="23"/>
      <c r="C205" s="24"/>
      <c r="D205" s="24"/>
      <c r="E205" s="24"/>
      <c r="F205" s="16">
        <f>SUM(F206)</f>
        <v>700</v>
      </c>
      <c r="G205" s="17"/>
      <c r="H205" s="18"/>
      <c r="I205" s="18"/>
      <c r="J205" s="18"/>
      <c r="K205" s="19"/>
    </row>
    <row r="206" spans="1:11" ht="29.4" customHeight="1" x14ac:dyDescent="0.3">
      <c r="A206" s="60" t="s">
        <v>236</v>
      </c>
      <c r="B206" s="186" t="s">
        <v>237</v>
      </c>
      <c r="C206" s="187"/>
      <c r="D206" s="187"/>
      <c r="E206" s="188"/>
      <c r="F206" s="12">
        <v>700</v>
      </c>
      <c r="G206" s="21">
        <v>55</v>
      </c>
      <c r="H206" s="189" t="s">
        <v>238</v>
      </c>
      <c r="I206" s="190"/>
      <c r="J206" s="190"/>
      <c r="K206" s="191"/>
    </row>
    <row r="207" spans="1:11" ht="29.4" customHeight="1" x14ac:dyDescent="0.3">
      <c r="A207" s="22" t="s">
        <v>192</v>
      </c>
      <c r="B207" s="23"/>
      <c r="C207" s="24"/>
      <c r="D207" s="24"/>
      <c r="E207" s="24"/>
      <c r="F207" s="16">
        <f>SUM(F208:F210)</f>
        <v>-18000</v>
      </c>
      <c r="G207" s="17"/>
      <c r="H207" s="18"/>
      <c r="I207" s="18"/>
      <c r="J207" s="18"/>
      <c r="K207" s="19"/>
    </row>
    <row r="208" spans="1:11" ht="29.4" customHeight="1" x14ac:dyDescent="0.3">
      <c r="A208" s="159" t="s">
        <v>239</v>
      </c>
      <c r="B208" s="176" t="s">
        <v>240</v>
      </c>
      <c r="C208" s="177"/>
      <c r="D208" s="177"/>
      <c r="E208" s="178"/>
      <c r="F208" s="12">
        <v>-30000</v>
      </c>
      <c r="G208" s="21">
        <v>55</v>
      </c>
      <c r="H208" s="198" t="s">
        <v>293</v>
      </c>
      <c r="I208" s="199"/>
      <c r="J208" s="199"/>
      <c r="K208" s="200"/>
    </row>
    <row r="209" spans="1:11" ht="29.4" customHeight="1" x14ac:dyDescent="0.3">
      <c r="A209" s="182"/>
      <c r="B209" s="183"/>
      <c r="C209" s="184"/>
      <c r="D209" s="184"/>
      <c r="E209" s="185"/>
      <c r="F209" s="12">
        <v>30000</v>
      </c>
      <c r="G209" s="52">
        <v>15</v>
      </c>
      <c r="H209" s="201"/>
      <c r="I209" s="202"/>
      <c r="J209" s="202"/>
      <c r="K209" s="203"/>
    </row>
    <row r="210" spans="1:11" ht="43.2" customHeight="1" x14ac:dyDescent="0.3">
      <c r="A210" s="160"/>
      <c r="B210" s="179"/>
      <c r="C210" s="180"/>
      <c r="D210" s="180"/>
      <c r="E210" s="181"/>
      <c r="F210" s="12">
        <v>-18000</v>
      </c>
      <c r="G210" s="52">
        <v>55</v>
      </c>
      <c r="H210" s="189" t="s">
        <v>301</v>
      </c>
      <c r="I210" s="190"/>
      <c r="J210" s="190"/>
      <c r="K210" s="191"/>
    </row>
    <row r="211" spans="1:11" x14ac:dyDescent="0.3">
      <c r="A211" s="22" t="s">
        <v>65</v>
      </c>
      <c r="B211" s="23"/>
      <c r="C211" s="24"/>
      <c r="D211" s="24"/>
      <c r="E211" s="24"/>
      <c r="F211" s="16">
        <f>SUM(F212:F214)</f>
        <v>8200</v>
      </c>
      <c r="G211" s="17"/>
      <c r="H211" s="18"/>
      <c r="I211" s="18"/>
      <c r="J211" s="18"/>
      <c r="K211" s="19"/>
    </row>
    <row r="212" spans="1:11" ht="29.4" customHeight="1" x14ac:dyDescent="0.3">
      <c r="A212" s="60" t="s">
        <v>68</v>
      </c>
      <c r="B212" s="186" t="s">
        <v>69</v>
      </c>
      <c r="C212" s="187"/>
      <c r="D212" s="187"/>
      <c r="E212" s="188"/>
      <c r="F212" s="12">
        <v>-9000</v>
      </c>
      <c r="G212" s="21">
        <v>55</v>
      </c>
      <c r="H212" s="189" t="s">
        <v>294</v>
      </c>
      <c r="I212" s="190"/>
      <c r="J212" s="190"/>
      <c r="K212" s="191"/>
    </row>
    <row r="213" spans="1:11" ht="31.2" customHeight="1" x14ac:dyDescent="0.3">
      <c r="A213" s="159" t="s">
        <v>241</v>
      </c>
      <c r="B213" s="192" t="s">
        <v>242</v>
      </c>
      <c r="C213" s="193"/>
      <c r="D213" s="193"/>
      <c r="E213" s="194"/>
      <c r="F213" s="12">
        <v>18000</v>
      </c>
      <c r="G213" s="21">
        <v>50</v>
      </c>
      <c r="H213" s="189" t="s">
        <v>243</v>
      </c>
      <c r="I213" s="190"/>
      <c r="J213" s="190"/>
      <c r="K213" s="191"/>
    </row>
    <row r="214" spans="1:11" x14ac:dyDescent="0.3">
      <c r="A214" s="160"/>
      <c r="B214" s="195"/>
      <c r="C214" s="196"/>
      <c r="D214" s="196"/>
      <c r="E214" s="197"/>
      <c r="F214" s="12">
        <v>-800</v>
      </c>
      <c r="G214" s="21">
        <v>55</v>
      </c>
      <c r="H214" s="189" t="s">
        <v>235</v>
      </c>
      <c r="I214" s="190"/>
      <c r="J214" s="190"/>
      <c r="K214" s="191"/>
    </row>
    <row r="215" spans="1:11" ht="29.4" customHeight="1" x14ac:dyDescent="0.3">
      <c r="A215" s="22" t="s">
        <v>71</v>
      </c>
      <c r="B215" s="23"/>
      <c r="C215" s="24"/>
      <c r="D215" s="24"/>
      <c r="E215" s="24"/>
      <c r="F215" s="16">
        <f>SUM(F216:F219)</f>
        <v>-18355</v>
      </c>
      <c r="G215" s="17"/>
      <c r="H215" s="18"/>
      <c r="I215" s="18"/>
      <c r="J215" s="18"/>
      <c r="K215" s="19"/>
    </row>
    <row r="216" spans="1:11" ht="29.4" customHeight="1" x14ac:dyDescent="0.3">
      <c r="A216" s="60" t="s">
        <v>244</v>
      </c>
      <c r="B216" s="186" t="s">
        <v>245</v>
      </c>
      <c r="C216" s="187"/>
      <c r="D216" s="187"/>
      <c r="E216" s="188"/>
      <c r="F216" s="12">
        <v>-2080</v>
      </c>
      <c r="G216" s="21">
        <v>55</v>
      </c>
      <c r="H216" s="189" t="s">
        <v>246</v>
      </c>
      <c r="I216" s="190"/>
      <c r="J216" s="190"/>
      <c r="K216" s="191"/>
    </row>
    <row r="217" spans="1:11" x14ac:dyDescent="0.3">
      <c r="A217" s="60" t="s">
        <v>247</v>
      </c>
      <c r="B217" s="186" t="s">
        <v>248</v>
      </c>
      <c r="C217" s="187"/>
      <c r="D217" s="187"/>
      <c r="E217" s="188"/>
      <c r="F217" s="12">
        <v>-775</v>
      </c>
      <c r="G217" s="21">
        <v>55</v>
      </c>
      <c r="H217" s="189" t="s">
        <v>249</v>
      </c>
      <c r="I217" s="190"/>
      <c r="J217" s="190"/>
      <c r="K217" s="191"/>
    </row>
    <row r="218" spans="1:11" ht="14.4" customHeight="1" x14ac:dyDescent="0.3">
      <c r="A218" s="161" t="s">
        <v>72</v>
      </c>
      <c r="B218" s="192" t="s">
        <v>73</v>
      </c>
      <c r="C218" s="193"/>
      <c r="D218" s="193"/>
      <c r="E218" s="194"/>
      <c r="F218" s="12">
        <v>-15000</v>
      </c>
      <c r="G218" s="53">
        <v>15</v>
      </c>
      <c r="H218" s="198" t="s">
        <v>235</v>
      </c>
      <c r="I218" s="199"/>
      <c r="J218" s="199"/>
      <c r="K218" s="200"/>
    </row>
    <row r="219" spans="1:11" x14ac:dyDescent="0.3">
      <c r="A219" s="164"/>
      <c r="B219" s="195"/>
      <c r="C219" s="196"/>
      <c r="D219" s="196"/>
      <c r="E219" s="197"/>
      <c r="F219" s="12">
        <v>-500</v>
      </c>
      <c r="G219" s="52">
        <v>55</v>
      </c>
      <c r="H219" s="201"/>
      <c r="I219" s="202"/>
      <c r="J219" s="202"/>
      <c r="K219" s="203"/>
    </row>
    <row r="220" spans="1:11" ht="14.4" customHeight="1" x14ac:dyDescent="0.3">
      <c r="A220" s="114" t="s">
        <v>74</v>
      </c>
      <c r="B220" s="115"/>
      <c r="C220" s="115"/>
      <c r="D220" s="115"/>
      <c r="E220" s="116"/>
      <c r="F220" s="16">
        <f>SUM(F221:F236)</f>
        <v>-54958</v>
      </c>
      <c r="G220" s="17"/>
      <c r="H220" s="18"/>
      <c r="I220" s="18"/>
      <c r="J220" s="18"/>
      <c r="K220" s="19"/>
    </row>
    <row r="221" spans="1:11" ht="25.95" customHeight="1" x14ac:dyDescent="0.3">
      <c r="A221" s="159" t="s">
        <v>250</v>
      </c>
      <c r="B221" s="176" t="s">
        <v>251</v>
      </c>
      <c r="C221" s="177"/>
      <c r="D221" s="177"/>
      <c r="E221" s="178"/>
      <c r="F221" s="12">
        <f>-11770-8300</f>
        <v>-20070</v>
      </c>
      <c r="G221" s="21">
        <v>50</v>
      </c>
      <c r="H221" s="102" t="s">
        <v>302</v>
      </c>
      <c r="I221" s="103"/>
      <c r="J221" s="103"/>
      <c r="K221" s="104"/>
    </row>
    <row r="222" spans="1:11" ht="33" customHeight="1" x14ac:dyDescent="0.3">
      <c r="A222" s="182"/>
      <c r="B222" s="183"/>
      <c r="C222" s="184"/>
      <c r="D222" s="184"/>
      <c r="E222" s="185"/>
      <c r="F222" s="12">
        <v>11770</v>
      </c>
      <c r="G222" s="21">
        <v>45</v>
      </c>
      <c r="H222" s="105"/>
      <c r="I222" s="106"/>
      <c r="J222" s="106"/>
      <c r="K222" s="107"/>
    </row>
    <row r="223" spans="1:11" x14ac:dyDescent="0.3">
      <c r="A223" s="160"/>
      <c r="B223" s="179"/>
      <c r="C223" s="180"/>
      <c r="D223" s="180"/>
      <c r="E223" s="181"/>
      <c r="F223" s="12">
        <v>-500</v>
      </c>
      <c r="G223" s="21">
        <v>55</v>
      </c>
      <c r="H223" s="138" t="s">
        <v>235</v>
      </c>
      <c r="I223" s="139"/>
      <c r="J223" s="139"/>
      <c r="K223" s="140"/>
    </row>
    <row r="224" spans="1:11" x14ac:dyDescent="0.3">
      <c r="A224" s="60" t="s">
        <v>199</v>
      </c>
      <c r="B224" s="117" t="s">
        <v>200</v>
      </c>
      <c r="C224" s="118"/>
      <c r="D224" s="118"/>
      <c r="E224" s="119"/>
      <c r="F224" s="12">
        <v>-5000</v>
      </c>
      <c r="G224" s="21">
        <v>15</v>
      </c>
      <c r="H224" s="120" t="s">
        <v>252</v>
      </c>
      <c r="I224" s="121"/>
      <c r="J224" s="121"/>
      <c r="K224" s="122"/>
    </row>
    <row r="225" spans="1:11" x14ac:dyDescent="0.3">
      <c r="A225" s="60" t="s">
        <v>253</v>
      </c>
      <c r="B225" s="117" t="s">
        <v>254</v>
      </c>
      <c r="C225" s="118"/>
      <c r="D225" s="118"/>
      <c r="E225" s="119"/>
      <c r="F225" s="12">
        <v>-1825</v>
      </c>
      <c r="G225" s="21">
        <v>55</v>
      </c>
      <c r="H225" s="120" t="s">
        <v>235</v>
      </c>
      <c r="I225" s="121"/>
      <c r="J225" s="121"/>
      <c r="K225" s="122"/>
    </row>
    <row r="226" spans="1:11" x14ac:dyDescent="0.3">
      <c r="A226" s="60" t="s">
        <v>255</v>
      </c>
      <c r="B226" s="117" t="s">
        <v>256</v>
      </c>
      <c r="C226" s="118"/>
      <c r="D226" s="118"/>
      <c r="E226" s="119"/>
      <c r="F226" s="12">
        <v>-400</v>
      </c>
      <c r="G226" s="21">
        <v>55</v>
      </c>
      <c r="H226" s="120" t="s">
        <v>235</v>
      </c>
      <c r="I226" s="121"/>
      <c r="J226" s="121"/>
      <c r="K226" s="122"/>
    </row>
    <row r="227" spans="1:11" x14ac:dyDescent="0.3">
      <c r="A227" s="60" t="s">
        <v>257</v>
      </c>
      <c r="B227" s="117" t="s">
        <v>258</v>
      </c>
      <c r="C227" s="118"/>
      <c r="D227" s="118"/>
      <c r="E227" s="119"/>
      <c r="F227" s="12">
        <v>-2850</v>
      </c>
      <c r="G227" s="21">
        <v>55</v>
      </c>
      <c r="H227" s="120" t="s">
        <v>235</v>
      </c>
      <c r="I227" s="121"/>
      <c r="J227" s="121"/>
      <c r="K227" s="122"/>
    </row>
    <row r="228" spans="1:11" x14ac:dyDescent="0.3">
      <c r="A228" s="159" t="s">
        <v>82</v>
      </c>
      <c r="B228" s="176" t="s">
        <v>83</v>
      </c>
      <c r="C228" s="177"/>
      <c r="D228" s="177"/>
      <c r="E228" s="178"/>
      <c r="F228" s="12">
        <v>-4000</v>
      </c>
      <c r="G228" s="21">
        <v>15</v>
      </c>
      <c r="H228" s="120" t="s">
        <v>235</v>
      </c>
      <c r="I228" s="121"/>
      <c r="J228" s="121"/>
      <c r="K228" s="122"/>
    </row>
    <row r="229" spans="1:11" x14ac:dyDescent="0.3">
      <c r="A229" s="182"/>
      <c r="B229" s="183"/>
      <c r="C229" s="184"/>
      <c r="D229" s="184"/>
      <c r="E229" s="185"/>
      <c r="F229" s="12">
        <v>-9028</v>
      </c>
      <c r="G229" s="52">
        <v>50</v>
      </c>
      <c r="H229" s="120" t="s">
        <v>235</v>
      </c>
      <c r="I229" s="121"/>
      <c r="J229" s="121"/>
      <c r="K229" s="122"/>
    </row>
    <row r="230" spans="1:11" x14ac:dyDescent="0.3">
      <c r="A230" s="160"/>
      <c r="B230" s="179"/>
      <c r="C230" s="180"/>
      <c r="D230" s="180"/>
      <c r="E230" s="181"/>
      <c r="F230" s="12">
        <v>-10700</v>
      </c>
      <c r="G230" s="52">
        <v>55</v>
      </c>
      <c r="H230" s="120" t="s">
        <v>235</v>
      </c>
      <c r="I230" s="121"/>
      <c r="J230" s="121"/>
      <c r="K230" s="122"/>
    </row>
    <row r="231" spans="1:11" x14ac:dyDescent="0.3">
      <c r="A231" s="60" t="s">
        <v>86</v>
      </c>
      <c r="B231" s="117" t="s">
        <v>259</v>
      </c>
      <c r="C231" s="118"/>
      <c r="D231" s="118"/>
      <c r="E231" s="119"/>
      <c r="F231" s="12">
        <v>-1150</v>
      </c>
      <c r="G231" s="21">
        <v>55</v>
      </c>
      <c r="H231" s="120" t="s">
        <v>235</v>
      </c>
      <c r="I231" s="121"/>
      <c r="J231" s="121"/>
      <c r="K231" s="122"/>
    </row>
    <row r="232" spans="1:11" x14ac:dyDescent="0.3">
      <c r="A232" s="60" t="s">
        <v>202</v>
      </c>
      <c r="B232" s="117" t="s">
        <v>203</v>
      </c>
      <c r="C232" s="118"/>
      <c r="D232" s="118"/>
      <c r="E232" s="119"/>
      <c r="F232" s="12">
        <v>-2075</v>
      </c>
      <c r="G232" s="21">
        <v>55</v>
      </c>
      <c r="H232" s="120" t="s">
        <v>235</v>
      </c>
      <c r="I232" s="121"/>
      <c r="J232" s="121"/>
      <c r="K232" s="122"/>
    </row>
    <row r="233" spans="1:11" x14ac:dyDescent="0.3">
      <c r="A233" s="60" t="s">
        <v>89</v>
      </c>
      <c r="B233" s="117" t="s">
        <v>260</v>
      </c>
      <c r="C233" s="118"/>
      <c r="D233" s="118"/>
      <c r="E233" s="119"/>
      <c r="F233" s="12">
        <v>-350</v>
      </c>
      <c r="G233" s="21">
        <v>55</v>
      </c>
      <c r="H233" s="120" t="s">
        <v>235</v>
      </c>
      <c r="I233" s="121"/>
      <c r="J233" s="121"/>
      <c r="K233" s="122"/>
    </row>
    <row r="234" spans="1:11" x14ac:dyDescent="0.3">
      <c r="A234" s="60" t="s">
        <v>205</v>
      </c>
      <c r="B234" s="117" t="s">
        <v>206</v>
      </c>
      <c r="C234" s="118"/>
      <c r="D234" s="118"/>
      <c r="E234" s="119"/>
      <c r="F234" s="12">
        <v>-4650</v>
      </c>
      <c r="G234" s="21">
        <v>55</v>
      </c>
      <c r="H234" s="120" t="s">
        <v>235</v>
      </c>
      <c r="I234" s="121"/>
      <c r="J234" s="121"/>
      <c r="K234" s="122"/>
    </row>
    <row r="235" spans="1:11" x14ac:dyDescent="0.3">
      <c r="A235" s="60" t="s">
        <v>93</v>
      </c>
      <c r="B235" s="117" t="s">
        <v>209</v>
      </c>
      <c r="C235" s="118"/>
      <c r="D235" s="118"/>
      <c r="E235" s="119"/>
      <c r="F235" s="12">
        <v>-1680</v>
      </c>
      <c r="G235" s="21">
        <v>55</v>
      </c>
      <c r="H235" s="120" t="s">
        <v>235</v>
      </c>
      <c r="I235" s="121"/>
      <c r="J235" s="121"/>
      <c r="K235" s="122"/>
    </row>
    <row r="236" spans="1:11" x14ac:dyDescent="0.3">
      <c r="A236" s="60" t="s">
        <v>210</v>
      </c>
      <c r="B236" s="117" t="s">
        <v>211</v>
      </c>
      <c r="C236" s="118"/>
      <c r="D236" s="118"/>
      <c r="E236" s="119"/>
      <c r="F236" s="12">
        <v>-2450</v>
      </c>
      <c r="G236" s="21">
        <v>55</v>
      </c>
      <c r="H236" s="120" t="s">
        <v>235</v>
      </c>
      <c r="I236" s="121"/>
      <c r="J236" s="121"/>
      <c r="K236" s="122"/>
    </row>
    <row r="237" spans="1:11" x14ac:dyDescent="0.3">
      <c r="A237" s="54" t="s">
        <v>99</v>
      </c>
      <c r="B237" s="23"/>
      <c r="C237" s="24"/>
      <c r="D237" s="24"/>
      <c r="E237" s="24"/>
      <c r="F237" s="16">
        <f>SUM(F238:F258)</f>
        <v>-229058</v>
      </c>
      <c r="G237" s="17"/>
      <c r="H237" s="18"/>
      <c r="I237" s="18"/>
      <c r="J237" s="18"/>
      <c r="K237" s="19"/>
    </row>
    <row r="238" spans="1:11" ht="29.4" customHeight="1" x14ac:dyDescent="0.3">
      <c r="A238" s="159" t="s">
        <v>261</v>
      </c>
      <c r="B238" s="176" t="s">
        <v>262</v>
      </c>
      <c r="C238" s="177"/>
      <c r="D238" s="177"/>
      <c r="E238" s="178"/>
      <c r="F238" s="12">
        <v>-16048</v>
      </c>
      <c r="G238" s="21">
        <v>50</v>
      </c>
      <c r="H238" s="138" t="s">
        <v>263</v>
      </c>
      <c r="I238" s="139"/>
      <c r="J238" s="139"/>
      <c r="K238" s="140"/>
    </row>
    <row r="239" spans="1:11" x14ac:dyDescent="0.3">
      <c r="A239" s="160"/>
      <c r="B239" s="179"/>
      <c r="C239" s="180"/>
      <c r="D239" s="180"/>
      <c r="E239" s="181"/>
      <c r="F239" s="12">
        <f>-87.82-2350</f>
        <v>-2437.8200000000002</v>
      </c>
      <c r="G239" s="21">
        <v>55</v>
      </c>
      <c r="H239" s="138" t="s">
        <v>235</v>
      </c>
      <c r="I239" s="139"/>
      <c r="J239" s="139"/>
      <c r="K239" s="140"/>
    </row>
    <row r="240" spans="1:11" ht="31.95" customHeight="1" x14ac:dyDescent="0.3">
      <c r="A240" s="145" t="s">
        <v>217</v>
      </c>
      <c r="B240" s="170" t="s">
        <v>218</v>
      </c>
      <c r="C240" s="171"/>
      <c r="D240" s="171"/>
      <c r="E240" s="172"/>
      <c r="F240" s="12">
        <v>-6630</v>
      </c>
      <c r="G240" s="21">
        <v>50</v>
      </c>
      <c r="H240" s="138" t="s">
        <v>263</v>
      </c>
      <c r="I240" s="139"/>
      <c r="J240" s="139"/>
      <c r="K240" s="140"/>
    </row>
    <row r="241" spans="1:11" ht="48" customHeight="1" x14ac:dyDescent="0.3">
      <c r="A241" s="146"/>
      <c r="B241" s="173"/>
      <c r="C241" s="174"/>
      <c r="D241" s="174"/>
      <c r="E241" s="175"/>
      <c r="F241" s="12">
        <f>10000+3500-850</f>
        <v>12650</v>
      </c>
      <c r="G241" s="21">
        <v>55</v>
      </c>
      <c r="H241" s="138" t="s">
        <v>264</v>
      </c>
      <c r="I241" s="139"/>
      <c r="J241" s="139"/>
      <c r="K241" s="140"/>
    </row>
    <row r="242" spans="1:11" ht="32.4" customHeight="1" x14ac:dyDescent="0.3">
      <c r="A242" s="159" t="s">
        <v>105</v>
      </c>
      <c r="B242" s="176" t="s">
        <v>106</v>
      </c>
      <c r="C242" s="177"/>
      <c r="D242" s="177"/>
      <c r="E242" s="178"/>
      <c r="F242" s="12">
        <v>-50124</v>
      </c>
      <c r="G242" s="21">
        <v>50</v>
      </c>
      <c r="H242" s="138" t="s">
        <v>263</v>
      </c>
      <c r="I242" s="139"/>
      <c r="J242" s="139"/>
      <c r="K242" s="140"/>
    </row>
    <row r="243" spans="1:11" x14ac:dyDescent="0.3">
      <c r="A243" s="160"/>
      <c r="B243" s="179"/>
      <c r="C243" s="180"/>
      <c r="D243" s="180"/>
      <c r="E243" s="181"/>
      <c r="F243" s="12">
        <v>-6450</v>
      </c>
      <c r="G243" s="21">
        <v>55</v>
      </c>
      <c r="H243" s="138" t="s">
        <v>235</v>
      </c>
      <c r="I243" s="139"/>
      <c r="J243" s="139"/>
      <c r="K243" s="140"/>
    </row>
    <row r="244" spans="1:11" ht="32.4" customHeight="1" x14ac:dyDescent="0.3">
      <c r="A244" s="145" t="s">
        <v>265</v>
      </c>
      <c r="B244" s="170" t="s">
        <v>266</v>
      </c>
      <c r="C244" s="171"/>
      <c r="D244" s="171"/>
      <c r="E244" s="172"/>
      <c r="F244" s="12">
        <v>-3787</v>
      </c>
      <c r="G244" s="21">
        <v>50</v>
      </c>
      <c r="H244" s="138" t="s">
        <v>263</v>
      </c>
      <c r="I244" s="139"/>
      <c r="J244" s="139"/>
      <c r="K244" s="140"/>
    </row>
    <row r="245" spans="1:11" ht="43.2" customHeight="1" x14ac:dyDescent="0.3">
      <c r="A245" s="146"/>
      <c r="B245" s="173"/>
      <c r="C245" s="174"/>
      <c r="D245" s="174"/>
      <c r="E245" s="175"/>
      <c r="F245" s="12">
        <f>-10000-1700</f>
        <v>-11700</v>
      </c>
      <c r="G245" s="21">
        <v>55</v>
      </c>
      <c r="H245" s="138" t="s">
        <v>267</v>
      </c>
      <c r="I245" s="139"/>
      <c r="J245" s="139"/>
      <c r="K245" s="140"/>
    </row>
    <row r="246" spans="1:11" x14ac:dyDescent="0.3">
      <c r="A246" s="60" t="s">
        <v>112</v>
      </c>
      <c r="B246" s="142" t="s">
        <v>113</v>
      </c>
      <c r="C246" s="143"/>
      <c r="D246" s="143"/>
      <c r="E246" s="144"/>
      <c r="F246" s="12">
        <v>-1000</v>
      </c>
      <c r="G246" s="55" t="s">
        <v>268</v>
      </c>
      <c r="H246" s="138" t="s">
        <v>235</v>
      </c>
      <c r="I246" s="139"/>
      <c r="J246" s="139"/>
      <c r="K246" s="140"/>
    </row>
    <row r="247" spans="1:11" ht="14.4" customHeight="1" x14ac:dyDescent="0.3">
      <c r="A247" s="159" t="s">
        <v>120</v>
      </c>
      <c r="B247" s="161" t="s">
        <v>121</v>
      </c>
      <c r="C247" s="162"/>
      <c r="D247" s="162"/>
      <c r="E247" s="163"/>
      <c r="F247" s="12">
        <v>-29910</v>
      </c>
      <c r="G247" s="55" t="s">
        <v>269</v>
      </c>
      <c r="H247" s="102" t="s">
        <v>235</v>
      </c>
      <c r="I247" s="103"/>
      <c r="J247" s="103"/>
      <c r="K247" s="104"/>
    </row>
    <row r="248" spans="1:11" x14ac:dyDescent="0.3">
      <c r="A248" s="160"/>
      <c r="B248" s="164"/>
      <c r="C248" s="165"/>
      <c r="D248" s="165"/>
      <c r="E248" s="166"/>
      <c r="F248" s="12">
        <v>-9300</v>
      </c>
      <c r="G248" s="55" t="s">
        <v>268</v>
      </c>
      <c r="H248" s="105"/>
      <c r="I248" s="106"/>
      <c r="J248" s="106"/>
      <c r="K248" s="107"/>
    </row>
    <row r="249" spans="1:11" ht="32.4" customHeight="1" x14ac:dyDescent="0.3">
      <c r="A249" s="159" t="s">
        <v>126</v>
      </c>
      <c r="B249" s="161" t="s">
        <v>127</v>
      </c>
      <c r="C249" s="162"/>
      <c r="D249" s="162"/>
      <c r="E249" s="163"/>
      <c r="F249" s="12">
        <v>-3894</v>
      </c>
      <c r="G249" s="55" t="s">
        <v>270</v>
      </c>
      <c r="H249" s="138" t="s">
        <v>263</v>
      </c>
      <c r="I249" s="139"/>
      <c r="J249" s="139"/>
      <c r="K249" s="140"/>
    </row>
    <row r="250" spans="1:11" x14ac:dyDescent="0.3">
      <c r="A250" s="160"/>
      <c r="B250" s="164"/>
      <c r="C250" s="165"/>
      <c r="D250" s="165"/>
      <c r="E250" s="166"/>
      <c r="F250" s="12">
        <v>-1125</v>
      </c>
      <c r="G250" s="55" t="s">
        <v>268</v>
      </c>
      <c r="H250" s="138" t="s">
        <v>235</v>
      </c>
      <c r="I250" s="139"/>
      <c r="J250" s="139"/>
      <c r="K250" s="140"/>
    </row>
    <row r="251" spans="1:11" ht="14.4" customHeight="1" x14ac:dyDescent="0.3">
      <c r="A251" s="145" t="s">
        <v>131</v>
      </c>
      <c r="B251" s="147" t="s">
        <v>132</v>
      </c>
      <c r="C251" s="148"/>
      <c r="D251" s="148"/>
      <c r="E251" s="149"/>
      <c r="F251" s="12">
        <v>-25590</v>
      </c>
      <c r="G251" s="55" t="s">
        <v>270</v>
      </c>
      <c r="H251" s="153" t="s">
        <v>271</v>
      </c>
      <c r="I251" s="154"/>
      <c r="J251" s="154"/>
      <c r="K251" s="155"/>
    </row>
    <row r="252" spans="1:11" ht="14.4" customHeight="1" x14ac:dyDescent="0.3">
      <c r="A252" s="146"/>
      <c r="B252" s="150"/>
      <c r="C252" s="151"/>
      <c r="D252" s="151"/>
      <c r="E252" s="152"/>
      <c r="F252" s="12">
        <v>-20000</v>
      </c>
      <c r="G252" s="55" t="s">
        <v>268</v>
      </c>
      <c r="H252" s="156"/>
      <c r="I252" s="157"/>
      <c r="J252" s="157"/>
      <c r="K252" s="158"/>
    </row>
    <row r="253" spans="1:11" ht="14.4" customHeight="1" x14ac:dyDescent="0.3">
      <c r="A253" s="60" t="s">
        <v>134</v>
      </c>
      <c r="B253" s="142" t="s">
        <v>135</v>
      </c>
      <c r="C253" s="143"/>
      <c r="D253" s="143"/>
      <c r="E253" s="144"/>
      <c r="F253" s="12">
        <v>-3500</v>
      </c>
      <c r="G253" s="55" t="s">
        <v>268</v>
      </c>
      <c r="H253" s="138" t="s">
        <v>235</v>
      </c>
      <c r="I253" s="139"/>
      <c r="J253" s="139"/>
      <c r="K253" s="140"/>
    </row>
    <row r="254" spans="1:11" ht="46.2" customHeight="1" x14ac:dyDescent="0.3">
      <c r="A254" s="159" t="s">
        <v>272</v>
      </c>
      <c r="B254" s="161" t="s">
        <v>273</v>
      </c>
      <c r="C254" s="162"/>
      <c r="D254" s="162"/>
      <c r="E254" s="163"/>
      <c r="F254" s="12">
        <v>-44000</v>
      </c>
      <c r="G254" s="55" t="s">
        <v>270</v>
      </c>
      <c r="H254" s="167" t="s">
        <v>274</v>
      </c>
      <c r="I254" s="168"/>
      <c r="J254" s="168"/>
      <c r="K254" s="169"/>
    </row>
    <row r="255" spans="1:11" x14ac:dyDescent="0.3">
      <c r="A255" s="160"/>
      <c r="B255" s="164"/>
      <c r="C255" s="165"/>
      <c r="D255" s="165"/>
      <c r="E255" s="166"/>
      <c r="F255" s="12">
        <v>-2800</v>
      </c>
      <c r="G255" s="55" t="s">
        <v>268</v>
      </c>
      <c r="H255" s="138" t="s">
        <v>235</v>
      </c>
      <c r="I255" s="139"/>
      <c r="J255" s="139"/>
      <c r="K255" s="140"/>
    </row>
    <row r="256" spans="1:11" ht="57" customHeight="1" x14ac:dyDescent="0.3">
      <c r="A256" s="60" t="s">
        <v>275</v>
      </c>
      <c r="B256" s="142" t="s">
        <v>276</v>
      </c>
      <c r="C256" s="143"/>
      <c r="D256" s="143"/>
      <c r="E256" s="144"/>
      <c r="F256" s="12">
        <v>87.82</v>
      </c>
      <c r="G256" s="55" t="s">
        <v>268</v>
      </c>
      <c r="H256" s="138" t="s">
        <v>277</v>
      </c>
      <c r="I256" s="139"/>
      <c r="J256" s="139"/>
      <c r="K256" s="140"/>
    </row>
    <row r="257" spans="1:11" ht="46.2" customHeight="1" x14ac:dyDescent="0.3">
      <c r="A257" s="60" t="s">
        <v>278</v>
      </c>
      <c r="B257" s="142" t="s">
        <v>279</v>
      </c>
      <c r="C257" s="143"/>
      <c r="D257" s="143"/>
      <c r="E257" s="144"/>
      <c r="F257" s="12">
        <v>350</v>
      </c>
      <c r="G257" s="55" t="s">
        <v>268</v>
      </c>
      <c r="H257" s="138" t="s">
        <v>280</v>
      </c>
      <c r="I257" s="139"/>
      <c r="J257" s="139"/>
      <c r="K257" s="140"/>
    </row>
    <row r="258" spans="1:11" ht="46.2" customHeight="1" x14ac:dyDescent="0.3">
      <c r="A258" s="60" t="s">
        <v>281</v>
      </c>
      <c r="B258" s="142" t="s">
        <v>282</v>
      </c>
      <c r="C258" s="143"/>
      <c r="D258" s="143"/>
      <c r="E258" s="144"/>
      <c r="F258" s="12">
        <v>-3850</v>
      </c>
      <c r="G258" s="55" t="s">
        <v>268</v>
      </c>
      <c r="H258" s="102" t="s">
        <v>283</v>
      </c>
      <c r="I258" s="103"/>
      <c r="J258" s="103"/>
      <c r="K258" s="104"/>
    </row>
    <row r="259" spans="1:11" x14ac:dyDescent="0.3">
      <c r="A259" s="54" t="s">
        <v>150</v>
      </c>
      <c r="B259" s="23"/>
      <c r="C259" s="24"/>
      <c r="D259" s="24"/>
      <c r="E259" s="24"/>
      <c r="F259" s="16">
        <f>SUM(F260)</f>
        <v>2186.71</v>
      </c>
      <c r="G259" s="17"/>
      <c r="H259" s="18"/>
      <c r="I259" s="18"/>
      <c r="J259" s="18"/>
      <c r="K259" s="19"/>
    </row>
    <row r="260" spans="1:11" ht="30" customHeight="1" x14ac:dyDescent="0.3">
      <c r="A260" s="60" t="s">
        <v>161</v>
      </c>
      <c r="B260" s="135" t="s">
        <v>162</v>
      </c>
      <c r="C260" s="136"/>
      <c r="D260" s="136"/>
      <c r="E260" s="137"/>
      <c r="F260" s="12">
        <v>2186.71</v>
      </c>
      <c r="G260" s="55" t="s">
        <v>284</v>
      </c>
      <c r="H260" s="138" t="s">
        <v>552</v>
      </c>
      <c r="I260" s="139"/>
      <c r="J260" s="139"/>
      <c r="K260" s="140"/>
    </row>
    <row r="261" spans="1:11" ht="14.4" customHeight="1" x14ac:dyDescent="0.3">
      <c r="A261" s="96" t="s">
        <v>285</v>
      </c>
      <c r="B261" s="97"/>
      <c r="C261" s="97"/>
      <c r="D261" s="97"/>
      <c r="E261" s="98"/>
      <c r="F261" s="49">
        <f>SUM(F202,F205,F207,F211,F215,F220,F237,F259)</f>
        <v>-311984.28999999998</v>
      </c>
      <c r="G261" s="50"/>
      <c r="H261" s="99"/>
      <c r="I261" s="100"/>
      <c r="J261" s="100"/>
      <c r="K261" s="101"/>
    </row>
    <row r="262" spans="1:11" ht="14.4" customHeight="1" x14ac:dyDescent="0.3">
      <c r="B262" s="2"/>
      <c r="E262" s="45" t="s">
        <v>171</v>
      </c>
      <c r="F262" s="64">
        <f>F136-F196-F261</f>
        <v>0</v>
      </c>
      <c r="G262" s="13"/>
    </row>
    <row r="263" spans="1:11" x14ac:dyDescent="0.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</row>
    <row r="264" spans="1:11" x14ac:dyDescent="0.3">
      <c r="B264" s="2"/>
      <c r="G264" s="2"/>
      <c r="H264" s="57"/>
    </row>
    <row r="265" spans="1:11" ht="14.4" customHeight="1" x14ac:dyDescent="0.3">
      <c r="A265" s="141" t="s">
        <v>303</v>
      </c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</row>
    <row r="266" spans="1:11" ht="14.4" customHeight="1" x14ac:dyDescent="0.3">
      <c r="B266" s="2"/>
      <c r="H266"/>
      <c r="I266"/>
      <c r="J266"/>
      <c r="K266"/>
    </row>
    <row r="267" spans="1:11" x14ac:dyDescent="0.3">
      <c r="A267" s="108" t="s">
        <v>286</v>
      </c>
      <c r="B267" s="109"/>
      <c r="C267" s="109"/>
      <c r="D267" s="109"/>
      <c r="E267" s="110"/>
      <c r="F267" s="15" t="s">
        <v>4</v>
      </c>
      <c r="G267" s="108" t="s">
        <v>5</v>
      </c>
      <c r="H267" s="109"/>
      <c r="I267" s="109"/>
      <c r="J267" s="109"/>
      <c r="K267" s="110"/>
    </row>
    <row r="268" spans="1:11" ht="14.4" customHeight="1" x14ac:dyDescent="0.3">
      <c r="A268" s="58"/>
      <c r="B268" s="123" t="s">
        <v>287</v>
      </c>
      <c r="C268" s="123"/>
      <c r="D268" s="123"/>
      <c r="E268" s="123"/>
      <c r="F268" s="59">
        <f>SUM(F269:F270)</f>
        <v>-145000</v>
      </c>
      <c r="G268" s="124"/>
      <c r="H268" s="125"/>
      <c r="I268" s="125"/>
      <c r="J268" s="125"/>
      <c r="K268" s="126"/>
    </row>
    <row r="269" spans="1:11" ht="14.4" customHeight="1" x14ac:dyDescent="0.3">
      <c r="A269" s="60" t="s">
        <v>199</v>
      </c>
      <c r="B269" s="127" t="s">
        <v>200</v>
      </c>
      <c r="C269" s="127"/>
      <c r="D269" s="127"/>
      <c r="E269" s="127"/>
      <c r="F269" s="12">
        <v>-95000</v>
      </c>
      <c r="G269" s="128" t="s">
        <v>288</v>
      </c>
      <c r="H269" s="129"/>
      <c r="I269" s="129"/>
      <c r="J269" s="129"/>
      <c r="K269" s="130"/>
    </row>
    <row r="270" spans="1:11" ht="14.4" customHeight="1" x14ac:dyDescent="0.3">
      <c r="A270" s="60" t="s">
        <v>82</v>
      </c>
      <c r="B270" s="131" t="s">
        <v>83</v>
      </c>
      <c r="C270" s="131"/>
      <c r="D270" s="131"/>
      <c r="E270" s="131"/>
      <c r="F270" s="12">
        <v>-50000</v>
      </c>
      <c r="G270" s="132" t="s">
        <v>289</v>
      </c>
      <c r="H270" s="133"/>
      <c r="I270" s="133"/>
      <c r="J270" s="133"/>
      <c r="K270" s="134"/>
    </row>
    <row r="272" spans="1:11" x14ac:dyDescent="0.3">
      <c r="A272" t="s">
        <v>290</v>
      </c>
    </row>
    <row r="274" spans="1:11" ht="14.4" customHeight="1" x14ac:dyDescent="0.3">
      <c r="A274" s="108" t="s">
        <v>51</v>
      </c>
      <c r="B274" s="109"/>
      <c r="C274" s="109"/>
      <c r="D274" s="109"/>
      <c r="E274" s="110"/>
      <c r="F274" s="15" t="s">
        <v>4</v>
      </c>
      <c r="G274" s="15" t="s">
        <v>52</v>
      </c>
      <c r="H274" s="111" t="s">
        <v>5</v>
      </c>
      <c r="I274" s="112"/>
      <c r="J274" s="112"/>
      <c r="K274" s="113"/>
    </row>
    <row r="275" spans="1:11" x14ac:dyDescent="0.3">
      <c r="A275" s="114" t="s">
        <v>74</v>
      </c>
      <c r="B275" s="115"/>
      <c r="C275" s="115"/>
      <c r="D275" s="115"/>
      <c r="E275" s="116"/>
      <c r="F275" s="16">
        <f>SUM(F276:F277)</f>
        <v>-145000</v>
      </c>
      <c r="G275" s="17"/>
      <c r="H275" s="18"/>
      <c r="I275" s="18"/>
      <c r="J275" s="18"/>
      <c r="K275" s="19"/>
    </row>
    <row r="276" spans="1:11" ht="30.6" customHeight="1" x14ac:dyDescent="0.3">
      <c r="A276" s="60" t="s">
        <v>199</v>
      </c>
      <c r="B276" s="117" t="s">
        <v>200</v>
      </c>
      <c r="C276" s="118"/>
      <c r="D276" s="118"/>
      <c r="E276" s="119"/>
      <c r="F276" s="12">
        <v>-95000</v>
      </c>
      <c r="G276" s="21">
        <v>15</v>
      </c>
      <c r="H276" s="120" t="s">
        <v>291</v>
      </c>
      <c r="I276" s="121"/>
      <c r="J276" s="121"/>
      <c r="K276" s="122"/>
    </row>
    <row r="277" spans="1:11" ht="32.4" customHeight="1" x14ac:dyDescent="0.3">
      <c r="A277" s="60" t="s">
        <v>82</v>
      </c>
      <c r="B277" s="117" t="s">
        <v>83</v>
      </c>
      <c r="C277" s="118"/>
      <c r="D277" s="118"/>
      <c r="E277" s="119"/>
      <c r="F277" s="12">
        <v>-50000</v>
      </c>
      <c r="G277" s="21">
        <v>15</v>
      </c>
      <c r="H277" s="120" t="s">
        <v>292</v>
      </c>
      <c r="I277" s="121"/>
      <c r="J277" s="121"/>
      <c r="K277" s="122"/>
    </row>
    <row r="278" spans="1:11" x14ac:dyDescent="0.3">
      <c r="A278" s="96" t="s">
        <v>285</v>
      </c>
      <c r="B278" s="97"/>
      <c r="C278" s="97"/>
      <c r="D278" s="97"/>
      <c r="E278" s="98"/>
      <c r="F278" s="49">
        <f>SUM(F275)</f>
        <v>-145000</v>
      </c>
      <c r="G278" s="50"/>
      <c r="H278" s="99"/>
      <c r="I278" s="100"/>
      <c r="J278" s="100"/>
      <c r="K278" s="101"/>
    </row>
  </sheetData>
  <mergeCells count="385">
    <mergeCell ref="A2:J2"/>
    <mergeCell ref="A4:J4"/>
    <mergeCell ref="A6:J6"/>
    <mergeCell ref="A8:D8"/>
    <mergeCell ref="G8:K8"/>
    <mergeCell ref="B9:E9"/>
    <mergeCell ref="G9:K9"/>
    <mergeCell ref="B13:E13"/>
    <mergeCell ref="G13:K13"/>
    <mergeCell ref="B14:E14"/>
    <mergeCell ref="G14:K14"/>
    <mergeCell ref="B15:E15"/>
    <mergeCell ref="G15:K15"/>
    <mergeCell ref="B10:E10"/>
    <mergeCell ref="G10:K10"/>
    <mergeCell ref="B11:E11"/>
    <mergeCell ref="G11:K11"/>
    <mergeCell ref="B12:E12"/>
    <mergeCell ref="G12:K12"/>
    <mergeCell ref="B19:E19"/>
    <mergeCell ref="G19:K19"/>
    <mergeCell ref="B20:E20"/>
    <mergeCell ref="G20:K20"/>
    <mergeCell ref="B21:E21"/>
    <mergeCell ref="G21:K21"/>
    <mergeCell ref="B16:E16"/>
    <mergeCell ref="G16:K16"/>
    <mergeCell ref="B17:E17"/>
    <mergeCell ref="G17:K17"/>
    <mergeCell ref="B18:E18"/>
    <mergeCell ref="G18:K18"/>
    <mergeCell ref="B25:E25"/>
    <mergeCell ref="G25:K25"/>
    <mergeCell ref="B26:E26"/>
    <mergeCell ref="G26:K26"/>
    <mergeCell ref="B27:E27"/>
    <mergeCell ref="G27:K27"/>
    <mergeCell ref="B22:E22"/>
    <mergeCell ref="G22:K22"/>
    <mergeCell ref="B23:E23"/>
    <mergeCell ref="G23:K23"/>
    <mergeCell ref="B24:E24"/>
    <mergeCell ref="G24:K24"/>
    <mergeCell ref="B37:E37"/>
    <mergeCell ref="B38:E38"/>
    <mergeCell ref="B39:E39"/>
    <mergeCell ref="G39:K39"/>
    <mergeCell ref="B40:E40"/>
    <mergeCell ref="G40:K40"/>
    <mergeCell ref="B28:E28"/>
    <mergeCell ref="G28:K38"/>
    <mergeCell ref="B29:E29"/>
    <mergeCell ref="B30:E30"/>
    <mergeCell ref="B31:E31"/>
    <mergeCell ref="B32:E32"/>
    <mergeCell ref="B33:E33"/>
    <mergeCell ref="B34:E34"/>
    <mergeCell ref="B35:E35"/>
    <mergeCell ref="B36:E36"/>
    <mergeCell ref="B48:E48"/>
    <mergeCell ref="H48:K48"/>
    <mergeCell ref="A50:A51"/>
    <mergeCell ref="B50:E51"/>
    <mergeCell ref="H50:K50"/>
    <mergeCell ref="H51:K51"/>
    <mergeCell ref="A41:D41"/>
    <mergeCell ref="G41:K41"/>
    <mergeCell ref="A44:J44"/>
    <mergeCell ref="A46:D46"/>
    <mergeCell ref="H46:K46"/>
    <mergeCell ref="A47:E47"/>
    <mergeCell ref="B56:E56"/>
    <mergeCell ref="H56:K56"/>
    <mergeCell ref="A57:E57"/>
    <mergeCell ref="B58:E58"/>
    <mergeCell ref="H58:K58"/>
    <mergeCell ref="A59:D59"/>
    <mergeCell ref="A52:E52"/>
    <mergeCell ref="B53:E53"/>
    <mergeCell ref="H53:K53"/>
    <mergeCell ref="A54:E54"/>
    <mergeCell ref="B55:E55"/>
    <mergeCell ref="H55:K55"/>
    <mergeCell ref="A60:A61"/>
    <mergeCell ref="B60:E61"/>
    <mergeCell ref="H60:K68"/>
    <mergeCell ref="A62:A63"/>
    <mergeCell ref="B62:E63"/>
    <mergeCell ref="A64:A65"/>
    <mergeCell ref="B64:E65"/>
    <mergeCell ref="B66:E66"/>
    <mergeCell ref="A67:A68"/>
    <mergeCell ref="B67:E68"/>
    <mergeCell ref="B69:E69"/>
    <mergeCell ref="H69:K70"/>
    <mergeCell ref="B70:E70"/>
    <mergeCell ref="B71:E71"/>
    <mergeCell ref="H71:K76"/>
    <mergeCell ref="A72:A73"/>
    <mergeCell ref="B72:E73"/>
    <mergeCell ref="B74:E74"/>
    <mergeCell ref="A75:A76"/>
    <mergeCell ref="B75:E76"/>
    <mergeCell ref="B81:E81"/>
    <mergeCell ref="B82:E82"/>
    <mergeCell ref="B83:E83"/>
    <mergeCell ref="H83:K83"/>
    <mergeCell ref="A77:D77"/>
    <mergeCell ref="B78:E78"/>
    <mergeCell ref="B79:E79"/>
    <mergeCell ref="B80:E80"/>
    <mergeCell ref="H80:K80"/>
    <mergeCell ref="A89:A90"/>
    <mergeCell ref="B89:E90"/>
    <mergeCell ref="H89:K92"/>
    <mergeCell ref="A91:A92"/>
    <mergeCell ref="B91:E92"/>
    <mergeCell ref="B93:E93"/>
    <mergeCell ref="H93:K93"/>
    <mergeCell ref="A84:A85"/>
    <mergeCell ref="B84:E85"/>
    <mergeCell ref="H84:K87"/>
    <mergeCell ref="A86:A87"/>
    <mergeCell ref="B86:E87"/>
    <mergeCell ref="B88:E88"/>
    <mergeCell ref="H88:K88"/>
    <mergeCell ref="A94:A95"/>
    <mergeCell ref="B94:E95"/>
    <mergeCell ref="H94:K95"/>
    <mergeCell ref="B96:E96"/>
    <mergeCell ref="H96:K96"/>
    <mergeCell ref="A97:A98"/>
    <mergeCell ref="B97:E98"/>
    <mergeCell ref="H97:K97"/>
    <mergeCell ref="H98:K98"/>
    <mergeCell ref="B99:E99"/>
    <mergeCell ref="H99:K99"/>
    <mergeCell ref="A100:A101"/>
    <mergeCell ref="B100:E101"/>
    <mergeCell ref="H100:K101"/>
    <mergeCell ref="B102:E102"/>
    <mergeCell ref="H102:K105"/>
    <mergeCell ref="B103:E103"/>
    <mergeCell ref="B104:E104"/>
    <mergeCell ref="B105:E105"/>
    <mergeCell ref="B113:E113"/>
    <mergeCell ref="H113:K113"/>
    <mergeCell ref="B114:E114"/>
    <mergeCell ref="H114:K114"/>
    <mergeCell ref="A115:A116"/>
    <mergeCell ref="B115:E116"/>
    <mergeCell ref="H115:K115"/>
    <mergeCell ref="H116:K116"/>
    <mergeCell ref="B106:E106"/>
    <mergeCell ref="H106:K106"/>
    <mergeCell ref="A107:D107"/>
    <mergeCell ref="A108:A112"/>
    <mergeCell ref="B108:E112"/>
    <mergeCell ref="H108:K108"/>
    <mergeCell ref="H109:K110"/>
    <mergeCell ref="H111:K112"/>
    <mergeCell ref="A124:J124"/>
    <mergeCell ref="A128:K128"/>
    <mergeCell ref="A130:K130"/>
    <mergeCell ref="A132:E132"/>
    <mergeCell ref="G132:K132"/>
    <mergeCell ref="B133:E133"/>
    <mergeCell ref="G133:K133"/>
    <mergeCell ref="A117:A119"/>
    <mergeCell ref="B117:E119"/>
    <mergeCell ref="H117:K119"/>
    <mergeCell ref="B120:E120"/>
    <mergeCell ref="H120:K120"/>
    <mergeCell ref="A121:D121"/>
    <mergeCell ref="H121:K121"/>
    <mergeCell ref="A140:K140"/>
    <mergeCell ref="A142:E142"/>
    <mergeCell ref="H142:K142"/>
    <mergeCell ref="B144:E144"/>
    <mergeCell ref="H144:K144"/>
    <mergeCell ref="B146:E146"/>
    <mergeCell ref="H146:K146"/>
    <mergeCell ref="B134:E134"/>
    <mergeCell ref="G134:K134"/>
    <mergeCell ref="B135:E135"/>
    <mergeCell ref="G135:K135"/>
    <mergeCell ref="A136:E136"/>
    <mergeCell ref="G136:K136"/>
    <mergeCell ref="B152:E152"/>
    <mergeCell ref="H152:K152"/>
    <mergeCell ref="A153:E153"/>
    <mergeCell ref="B154:E154"/>
    <mergeCell ref="H154:K154"/>
    <mergeCell ref="B155:E155"/>
    <mergeCell ref="H155:K155"/>
    <mergeCell ref="B147:E147"/>
    <mergeCell ref="H147:K147"/>
    <mergeCell ref="B148:E148"/>
    <mergeCell ref="H148:K148"/>
    <mergeCell ref="B150:E150"/>
    <mergeCell ref="H150:K150"/>
    <mergeCell ref="B160:E160"/>
    <mergeCell ref="H160:K160"/>
    <mergeCell ref="B161:E161"/>
    <mergeCell ref="H161:K161"/>
    <mergeCell ref="A162:E162"/>
    <mergeCell ref="B163:E163"/>
    <mergeCell ref="H163:K163"/>
    <mergeCell ref="A156:A157"/>
    <mergeCell ref="B156:E157"/>
    <mergeCell ref="H156:K156"/>
    <mergeCell ref="H157:K159"/>
    <mergeCell ref="B158:E158"/>
    <mergeCell ref="B159:E159"/>
    <mergeCell ref="B168:E168"/>
    <mergeCell ref="H168:K168"/>
    <mergeCell ref="A169:A170"/>
    <mergeCell ref="B169:E170"/>
    <mergeCell ref="H169:K172"/>
    <mergeCell ref="A171:A172"/>
    <mergeCell ref="B171:E172"/>
    <mergeCell ref="B164:E164"/>
    <mergeCell ref="H164:K164"/>
    <mergeCell ref="B165:E165"/>
    <mergeCell ref="H165:K167"/>
    <mergeCell ref="B166:E166"/>
    <mergeCell ref="B167:E167"/>
    <mergeCell ref="A173:A175"/>
    <mergeCell ref="B173:E175"/>
    <mergeCell ref="H173:K173"/>
    <mergeCell ref="H174:K174"/>
    <mergeCell ref="H175:K175"/>
    <mergeCell ref="A176:A177"/>
    <mergeCell ref="B176:E177"/>
    <mergeCell ref="H176:K179"/>
    <mergeCell ref="A178:A179"/>
    <mergeCell ref="B178:E179"/>
    <mergeCell ref="A185:A186"/>
    <mergeCell ref="B185:E186"/>
    <mergeCell ref="H185:K186"/>
    <mergeCell ref="B187:E187"/>
    <mergeCell ref="H187:K189"/>
    <mergeCell ref="B188:E188"/>
    <mergeCell ref="B189:E189"/>
    <mergeCell ref="B180:E180"/>
    <mergeCell ref="H180:K180"/>
    <mergeCell ref="A181:A182"/>
    <mergeCell ref="B181:E182"/>
    <mergeCell ref="H181:K182"/>
    <mergeCell ref="A183:A184"/>
    <mergeCell ref="B183:E184"/>
    <mergeCell ref="H183:K183"/>
    <mergeCell ref="H184:K184"/>
    <mergeCell ref="A194:A195"/>
    <mergeCell ref="B194:E195"/>
    <mergeCell ref="H194:K194"/>
    <mergeCell ref="H195:K195"/>
    <mergeCell ref="A196:E196"/>
    <mergeCell ref="H196:K196"/>
    <mergeCell ref="B190:E190"/>
    <mergeCell ref="H190:K190"/>
    <mergeCell ref="A191:E191"/>
    <mergeCell ref="A192:A193"/>
    <mergeCell ref="B192:E193"/>
    <mergeCell ref="H192:K193"/>
    <mergeCell ref="B206:E206"/>
    <mergeCell ref="H206:K206"/>
    <mergeCell ref="A208:A210"/>
    <mergeCell ref="B208:E210"/>
    <mergeCell ref="H208:K209"/>
    <mergeCell ref="H210:K210"/>
    <mergeCell ref="A199:K199"/>
    <mergeCell ref="A201:E201"/>
    <mergeCell ref="H201:K201"/>
    <mergeCell ref="A202:E202"/>
    <mergeCell ref="B203:E203"/>
    <mergeCell ref="H203:K204"/>
    <mergeCell ref="B204:E204"/>
    <mergeCell ref="B216:E216"/>
    <mergeCell ref="H216:K216"/>
    <mergeCell ref="B217:E217"/>
    <mergeCell ref="H217:K217"/>
    <mergeCell ref="A218:A219"/>
    <mergeCell ref="B218:E219"/>
    <mergeCell ref="H218:K219"/>
    <mergeCell ref="B212:E212"/>
    <mergeCell ref="H212:K212"/>
    <mergeCell ref="A213:A214"/>
    <mergeCell ref="B213:E214"/>
    <mergeCell ref="H213:K213"/>
    <mergeCell ref="H214:K214"/>
    <mergeCell ref="B225:E225"/>
    <mergeCell ref="H225:K225"/>
    <mergeCell ref="B226:E226"/>
    <mergeCell ref="H226:K226"/>
    <mergeCell ref="B227:E227"/>
    <mergeCell ref="H227:K227"/>
    <mergeCell ref="A220:E220"/>
    <mergeCell ref="A221:A223"/>
    <mergeCell ref="B221:E223"/>
    <mergeCell ref="H221:K222"/>
    <mergeCell ref="H223:K223"/>
    <mergeCell ref="B224:E224"/>
    <mergeCell ref="H224:K224"/>
    <mergeCell ref="B232:E232"/>
    <mergeCell ref="H232:K232"/>
    <mergeCell ref="B233:E233"/>
    <mergeCell ref="H233:K233"/>
    <mergeCell ref="B234:E234"/>
    <mergeCell ref="H234:K234"/>
    <mergeCell ref="A228:A230"/>
    <mergeCell ref="B228:E230"/>
    <mergeCell ref="H228:K228"/>
    <mergeCell ref="H229:K229"/>
    <mergeCell ref="H230:K230"/>
    <mergeCell ref="B231:E231"/>
    <mergeCell ref="H231:K231"/>
    <mergeCell ref="A240:A241"/>
    <mergeCell ref="B240:E241"/>
    <mergeCell ref="H240:K240"/>
    <mergeCell ref="H241:K241"/>
    <mergeCell ref="A242:A243"/>
    <mergeCell ref="B242:E243"/>
    <mergeCell ref="H242:K242"/>
    <mergeCell ref="H243:K243"/>
    <mergeCell ref="B235:E235"/>
    <mergeCell ref="H235:K235"/>
    <mergeCell ref="B236:E236"/>
    <mergeCell ref="H236:K236"/>
    <mergeCell ref="A238:A239"/>
    <mergeCell ref="B238:E239"/>
    <mergeCell ref="H238:K238"/>
    <mergeCell ref="H239:K239"/>
    <mergeCell ref="A247:A248"/>
    <mergeCell ref="B247:E248"/>
    <mergeCell ref="H247:K248"/>
    <mergeCell ref="A249:A250"/>
    <mergeCell ref="B249:E250"/>
    <mergeCell ref="H249:K249"/>
    <mergeCell ref="H250:K250"/>
    <mergeCell ref="A244:A245"/>
    <mergeCell ref="B244:E245"/>
    <mergeCell ref="H244:K244"/>
    <mergeCell ref="H245:K245"/>
    <mergeCell ref="B246:E246"/>
    <mergeCell ref="H246:K246"/>
    <mergeCell ref="B256:E256"/>
    <mergeCell ref="H256:K256"/>
    <mergeCell ref="B257:E257"/>
    <mergeCell ref="H257:K257"/>
    <mergeCell ref="B258:E258"/>
    <mergeCell ref="H258:K258"/>
    <mergeCell ref="A251:A252"/>
    <mergeCell ref="B251:E252"/>
    <mergeCell ref="H251:K252"/>
    <mergeCell ref="B253:E253"/>
    <mergeCell ref="H253:K253"/>
    <mergeCell ref="A254:A255"/>
    <mergeCell ref="B254:E255"/>
    <mergeCell ref="H254:K254"/>
    <mergeCell ref="H255:K255"/>
    <mergeCell ref="A278:E278"/>
    <mergeCell ref="H278:K278"/>
    <mergeCell ref="H78:K79"/>
    <mergeCell ref="H81:K82"/>
    <mergeCell ref="A274:E274"/>
    <mergeCell ref="H274:K274"/>
    <mergeCell ref="A275:E275"/>
    <mergeCell ref="B276:E276"/>
    <mergeCell ref="H276:K276"/>
    <mergeCell ref="B277:E277"/>
    <mergeCell ref="H277:K277"/>
    <mergeCell ref="B268:E268"/>
    <mergeCell ref="G268:K268"/>
    <mergeCell ref="B269:E269"/>
    <mergeCell ref="G269:K269"/>
    <mergeCell ref="B270:E270"/>
    <mergeCell ref="G270:K270"/>
    <mergeCell ref="B260:E260"/>
    <mergeCell ref="H260:K260"/>
    <mergeCell ref="A261:E261"/>
    <mergeCell ref="H261:K261"/>
    <mergeCell ref="A265:K265"/>
    <mergeCell ref="A267:E267"/>
    <mergeCell ref="G267:K26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Aruandevorm</vt:lpstr>
      <vt:lpstr>Seletuskiri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VALLASEKRETÄR</cp:lastModifiedBy>
  <cp:lastPrinted>2022-04-14T05:05:13Z</cp:lastPrinted>
  <dcterms:created xsi:type="dcterms:W3CDTF">2022-04-12T20:35:19Z</dcterms:created>
  <dcterms:modified xsi:type="dcterms:W3CDTF">2022-05-17T05:26:25Z</dcterms:modified>
</cp:coreProperties>
</file>